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ayaka\Downloads\"/>
    </mc:Choice>
  </mc:AlternateContent>
  <bookViews>
    <workbookView xWindow="0" yWindow="0" windowWidth="19200" windowHeight="7900"/>
  </bookViews>
  <sheets>
    <sheet name="README" sheetId="1" r:id="rId1"/>
    <sheet name="Assumptions" sheetId="2" r:id="rId2"/>
    <sheet name="TCO" sheetId="3" r:id="rId3"/>
    <sheet name="Benefits" sheetId="4" r:id="rId4"/>
    <sheet name="ROI Summary" sheetId="5" r:id="rId5"/>
    <sheet name="Sensitivity" sheetId="6" r:id="rId6"/>
  </sheets>
  <calcPr calcId="152511"/>
</workbook>
</file>

<file path=xl/calcChain.xml><?xml version="1.0" encoding="utf-8"?>
<calcChain xmlns="http://schemas.openxmlformats.org/spreadsheetml/2006/main">
  <c r="B5" i="5" l="1"/>
  <c r="B7" i="5" s="1"/>
  <c r="E9" i="4"/>
  <c r="E5" i="5" s="1"/>
  <c r="G8" i="4"/>
  <c r="F8" i="4"/>
  <c r="E8" i="4"/>
  <c r="D8" i="4"/>
  <c r="C8" i="4"/>
  <c r="H7" i="4"/>
  <c r="G7" i="4"/>
  <c r="F7" i="4"/>
  <c r="E7" i="4"/>
  <c r="D7" i="4"/>
  <c r="C7" i="4"/>
  <c r="G6" i="4"/>
  <c r="G9" i="4" s="1"/>
  <c r="G5" i="5" s="1"/>
  <c r="G7" i="5" s="1"/>
  <c r="F6" i="4"/>
  <c r="F9" i="4" s="1"/>
  <c r="F5" i="5" s="1"/>
  <c r="E6" i="4"/>
  <c r="H6" i="4" s="1"/>
  <c r="D6" i="4"/>
  <c r="C6" i="4"/>
  <c r="G5" i="4"/>
  <c r="F5" i="4"/>
  <c r="E5" i="4"/>
  <c r="D5" i="4"/>
  <c r="D9" i="4" s="1"/>
  <c r="D5" i="5" s="1"/>
  <c r="D7" i="5" s="1"/>
  <c r="C5" i="4"/>
  <c r="C9" i="4" s="1"/>
  <c r="B12" i="3"/>
  <c r="B6" i="5" s="1"/>
  <c r="H11" i="3"/>
  <c r="G11" i="3"/>
  <c r="F11" i="3"/>
  <c r="E11" i="3"/>
  <c r="D11" i="3"/>
  <c r="C11" i="3"/>
  <c r="G10" i="3"/>
  <c r="F10" i="3"/>
  <c r="H10" i="3" s="1"/>
  <c r="E10" i="3"/>
  <c r="D10" i="3"/>
  <c r="C10" i="3"/>
  <c r="G9" i="3"/>
  <c r="F9" i="3"/>
  <c r="E9" i="3"/>
  <c r="D9" i="3"/>
  <c r="C9" i="3"/>
  <c r="H9" i="3" s="1"/>
  <c r="G8" i="3"/>
  <c r="F8" i="3"/>
  <c r="E8" i="3"/>
  <c r="D8" i="3"/>
  <c r="D12" i="3" s="1"/>
  <c r="D6" i="5" s="1"/>
  <c r="C8" i="3"/>
  <c r="H8" i="3" s="1"/>
  <c r="H7" i="3"/>
  <c r="G7" i="3"/>
  <c r="F7" i="3"/>
  <c r="E7" i="3"/>
  <c r="D7" i="3"/>
  <c r="C7" i="3"/>
  <c r="B7" i="3"/>
  <c r="G6" i="3"/>
  <c r="H6" i="3" s="1"/>
  <c r="F6" i="3"/>
  <c r="E6" i="3"/>
  <c r="D6" i="3"/>
  <c r="C6" i="3"/>
  <c r="B6" i="3"/>
  <c r="G5" i="3"/>
  <c r="G12" i="3" s="1"/>
  <c r="G6" i="5" s="1"/>
  <c r="F5" i="3"/>
  <c r="F12" i="3" s="1"/>
  <c r="F6" i="5" s="1"/>
  <c r="E5" i="3"/>
  <c r="E12" i="3" s="1"/>
  <c r="E6" i="5" s="1"/>
  <c r="D5" i="3"/>
  <c r="C5" i="3"/>
  <c r="B5" i="3"/>
  <c r="B8" i="5" l="1"/>
  <c r="B13" i="5"/>
  <c r="E7" i="5"/>
  <c r="C5" i="5"/>
  <c r="C7" i="5" s="1"/>
  <c r="B12" i="5" s="1" a="1"/>
  <c r="B12" i="5" s="1"/>
  <c r="D6" i="6" a="1"/>
  <c r="D6" i="6" s="1"/>
  <c r="E5" i="6" a="1"/>
  <c r="E5" i="6" s="1"/>
  <c r="H9" i="4"/>
  <c r="H5" i="5" s="1"/>
  <c r="E7" i="6" a="1"/>
  <c r="E7" i="6" s="1"/>
  <c r="F6" i="6" a="1"/>
  <c r="F6" i="6" s="1"/>
  <c r="F7" i="5"/>
  <c r="H5" i="4"/>
  <c r="H5" i="3"/>
  <c r="H12" i="3" s="1"/>
  <c r="H6" i="5" s="1"/>
  <c r="C12" i="3"/>
  <c r="C6" i="5" s="1"/>
  <c r="B8" i="6" l="1" a="1"/>
  <c r="B8" i="6" s="1"/>
  <c r="B7" i="6" a="1"/>
  <c r="B7" i="6" s="1"/>
  <c r="F8" i="6" a="1"/>
  <c r="F8" i="6" s="1"/>
  <c r="D7" i="6" a="1"/>
  <c r="D7" i="6" s="1"/>
  <c r="E6" i="6" a="1"/>
  <c r="E6" i="6" s="1"/>
  <c r="D5" i="6" a="1"/>
  <c r="D5" i="6" s="1"/>
  <c r="E9" i="6" a="1"/>
  <c r="E9" i="6" s="1"/>
  <c r="C8" i="6" a="1"/>
  <c r="C8" i="6" s="1"/>
  <c r="C9" i="6" a="1"/>
  <c r="C9" i="6" s="1"/>
  <c r="E8" i="6" a="1"/>
  <c r="E8" i="6" s="1"/>
  <c r="C5" i="6" a="1"/>
  <c r="C5" i="6" s="1"/>
  <c r="D9" i="6" a="1"/>
  <c r="D9" i="6" s="1"/>
  <c r="C6" i="6" a="1"/>
  <c r="C6" i="6" s="1"/>
  <c r="B9" i="6" a="1"/>
  <c r="B9" i="6" s="1"/>
  <c r="B5" i="6" a="1"/>
  <c r="B5" i="6" s="1"/>
  <c r="B6" i="6" a="1"/>
  <c r="B6" i="6" s="1"/>
  <c r="B16" i="5"/>
  <c r="H7" i="5"/>
  <c r="B15" i="5" s="1"/>
  <c r="F7" i="6" a="1"/>
  <c r="F7" i="6" s="1"/>
  <c r="F9" i="6" a="1"/>
  <c r="F9" i="6" s="1"/>
  <c r="D8" i="6" a="1"/>
  <c r="D8" i="6" s="1"/>
  <c r="C7" i="6" a="1"/>
  <c r="C7" i="6" s="1"/>
  <c r="F5" i="6" a="1"/>
  <c r="F5" i="6" s="1"/>
  <c r="C8" i="5"/>
  <c r="B9" i="5"/>
  <c r="D8" i="5" l="1"/>
  <c r="C9" i="5"/>
  <c r="E8" i="5" l="1"/>
  <c r="D9" i="5"/>
  <c r="F8" i="5" l="1"/>
  <c r="E9" i="5"/>
  <c r="F9" i="5" l="1"/>
  <c r="B14" i="5" s="1" a="1"/>
  <c r="B14" i="5" s="1"/>
  <c r="G8" i="5"/>
  <c r="G9" i="5" s="1"/>
</calcChain>
</file>

<file path=xl/sharedStrings.xml><?xml version="1.0" encoding="utf-8"?>
<sst xmlns="http://schemas.openxmlformats.org/spreadsheetml/2006/main" count="110" uniqueCount="89">
  <si>
    <t>Total Cost of Ownership</t>
  </si>
  <si>
    <t>Enterprise AI ROI Model - TCO · NPV · IRR</t>
  </si>
  <si>
    <t>Benefit Build-Up</t>
  </si>
  <si>
    <t>Assumptions &amp; Inputs</t>
  </si>
  <si>
    <t>All blue cells are editable · yellow = key levers · defaults are illustrative</t>
  </si>
  <si>
    <t>Year 0 = implementation · Years 1–5 escalated at the cost-escalation rate</t>
  </si>
  <si>
    <t>Parameterized value-engineering template · bhattyash.com</t>
  </si>
  <si>
    <t>Cost line</t>
  </si>
  <si>
    <t>General</t>
  </si>
  <si>
    <t>Full run-rate × adoption ramp × benefit escalation</t>
  </si>
  <si>
    <t>Year 0</t>
  </si>
  <si>
    <t>How to use this model</t>
  </si>
  <si>
    <t>Benefit line</t>
  </si>
  <si>
    <t>Year 1</t>
  </si>
  <si>
    <t>Year 2</t>
  </si>
  <si>
    <t>Discount rate (WACC)</t>
  </si>
  <si>
    <t>1. Enter engagement-specific values on the Assumptions tab. Editable inputs are BLUE text; key levers have YELLOW fill.</t>
  </si>
  <si>
    <t>Year 3</t>
  </si>
  <si>
    <t>2. TCO and Benefits tabs calculate automatically - do not overwrite black formula cells.</t>
  </si>
  <si>
    <t>Year 4</t>
  </si>
  <si>
    <t>Year 5</t>
  </si>
  <si>
    <t>Total</t>
  </si>
  <si>
    <t>3. ROI Summary reports NPV, IRR, payback period, and 5-year ROI.</t>
  </si>
  <si>
    <t>Implementation &amp; integration services</t>
  </si>
  <si>
    <t>4. Sensitivity shows NPV across discount rates and benefit-realization levels.</t>
  </si>
  <si>
    <t>Cost escalation (annual)</t>
  </si>
  <si>
    <t>5. All defaults are illustrative placeholders - replace them with client inputs before use.</t>
  </si>
  <si>
    <t>Labor productivity - full run-rate</t>
  </si>
  <si>
    <t>Color legend</t>
  </si>
  <si>
    <t>Benefit escalation (annual)</t>
  </si>
  <si>
    <t>Blue text</t>
  </si>
  <si>
    <t>Costs - one-time (Year 0)</t>
  </si>
  <si>
    <t>Hardcoded input - edit these</t>
  </si>
  <si>
    <t>Black text</t>
  </si>
  <si>
    <t>Formula - do not overwrite</t>
  </si>
  <si>
    <t>Green text</t>
  </si>
  <si>
    <t>Link to another sheet</t>
  </si>
  <si>
    <t>Yellow fill</t>
  </si>
  <si>
    <t>Internal team time during implementation</t>
  </si>
  <si>
    <t>Key assumption / scenario lever</t>
  </si>
  <si>
    <t>Notes &amp; conventions</t>
  </si>
  <si>
    <t>Training &amp; change management (initial)</t>
  </si>
  <si>
    <t>Costs - recurring (Year 1 base, escalated)</t>
  </si>
  <si>
    <t>Cash flows are pre-tax. Year 0 = implementation; Years 1–5 = operating horizon.</t>
  </si>
  <si>
    <t>NPV discounts Years 1–5 and adds Year 0 undiscounted. IRR uses the full Year 0–5 net cash flow vector.</t>
  </si>
  <si>
    <t>Source of defaults: user-supplied illustrative values (Yash Bhatt), July 2026. Not client data.</t>
  </si>
  <si>
    <t>Software licensing / subscription</t>
  </si>
  <si>
    <t>Internal team time (implementation)</t>
  </si>
  <si>
    <t>Infrastructure &amp; cloud</t>
  </si>
  <si>
    <t>Support &amp; maintenance</t>
  </si>
  <si>
    <t>Ongoing training &amp; enablement</t>
  </si>
  <si>
    <t>Benefits - drivers (full run-rate, Year 1 base)</t>
  </si>
  <si>
    <t>Analysts / users affected</t>
  </si>
  <si>
    <t>Hours saved per user per month</t>
  </si>
  <si>
    <t>Fully-loaded hourly rate</t>
  </si>
  <si>
    <t>Error-related cost avoidance (annual)</t>
  </si>
  <si>
    <t>Incremental margin / revenue uplift (annual)</t>
  </si>
  <si>
    <t>Error-related cost avoidance - full run-rate</t>
  </si>
  <si>
    <t>Adoption ramp (share of full run-rate realized)</t>
  </si>
  <si>
    <t>Year</t>
  </si>
  <si>
    <t>Y1</t>
  </si>
  <si>
    <t>Y2</t>
  </si>
  <si>
    <t>Y3</t>
  </si>
  <si>
    <t>Y4</t>
  </si>
  <si>
    <t>Y5</t>
  </si>
  <si>
    <t>Adoption %</t>
  </si>
  <si>
    <t>Incremental margin / revenue uplift - full run-rate</t>
  </si>
  <si>
    <t>Adoption ramp</t>
  </si>
  <si>
    <t xml:space="preserve">- </t>
  </si>
  <si>
    <t>Total realized benefits</t>
  </si>
  <si>
    <t>Total cost</t>
  </si>
  <si>
    <t>ROI Summary - NPV · IRR · Payback</t>
  </si>
  <si>
    <t>Net cash flow = realized benefits − total cost</t>
  </si>
  <si>
    <t>Realized benefits</t>
  </si>
  <si>
    <t>Sensitivity - NPV ($)</t>
  </si>
  <si>
    <t>Rows: discount rate · Columns: benefit-realization factor (adoption/impact haircut)</t>
  </si>
  <si>
    <t>NPV ($)</t>
  </si>
  <si>
    <t>Net cash flow</t>
  </si>
  <si>
    <t>Cumulative net cash flow</t>
  </si>
  <si>
    <t>Payback achieved flag</t>
  </si>
  <si>
    <t>Headline metrics</t>
  </si>
  <si>
    <t>NPV (5-yr)</t>
  </si>
  <si>
    <t>Years 1–5 discounted; Year 0 undiscounted</t>
  </si>
  <si>
    <t>IRR</t>
  </si>
  <si>
    <t>Payback period (years)</t>
  </si>
  <si>
    <t>Linear interpolation within the payback year</t>
  </si>
  <si>
    <t>5-yr ROI (net benefit ÷ total cost)</t>
  </si>
  <si>
    <t>Benefit-cost ratio</t>
  </si>
  <si>
    <t>Base case: 12.0% discount rate · 100% realization. Realization scales benefits only; costs are held firm.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</si>
</sst>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\$#,##0;&quot;($&quot;#,##0\);\-"/>
    <numFmt numFmtId="166" formatCode="0.00\x"/>
  </numFmts>
  <fonts count="12">
    <font>
      <sz val="11"/>
      <color theme="1"/>
      <name val="Calibri"/>
      <scheme val="minor"/>
    </font>
    <font>
      <b/>
      <sz val="14"/>
      <color rgb="FFFFFFFF"/>
      <name val="Arial"/>
    </font>
    <font>
      <sz val="11"/>
      <name val="Calibri"/>
    </font>
    <font>
      <i/>
      <sz val="9"/>
      <color rgb="FF475569"/>
      <name val="Arial"/>
    </font>
    <font>
      <b/>
      <sz val="10"/>
      <color rgb="FFFFFFFF"/>
      <name val="Arial"/>
    </font>
    <font>
      <b/>
      <sz val="11"/>
      <color rgb="FF0B1120"/>
      <name val="Arial"/>
    </font>
    <font>
      <sz val="10"/>
      <color rgb="FF000000"/>
      <name val="Arial"/>
    </font>
    <font>
      <sz val="10"/>
      <color rgb="FF0000FF"/>
      <name val="Arial"/>
    </font>
    <font>
      <sz val="10"/>
      <color rgb="FF008000"/>
      <name val="Arial"/>
    </font>
    <font>
      <sz val="9"/>
      <color rgb="FF475569"/>
      <name val="Arial"/>
    </font>
    <font>
      <b/>
      <sz val="10"/>
      <color theme="1"/>
      <name val="Arial"/>
    </font>
    <font>
      <sz val="8"/>
      <color rgb="FF94A3B8"/>
      <name val="Arial"/>
    </font>
  </fonts>
  <fills count="6">
    <fill>
      <patternFill patternType="none"/>
    </fill>
    <fill>
      <patternFill patternType="gray125"/>
    </fill>
    <fill>
      <patternFill patternType="solid">
        <fgColor rgb="FF0B1120"/>
        <bgColor rgb="FF0B1120"/>
      </patternFill>
    </fill>
    <fill>
      <patternFill patternType="solid">
        <fgColor rgb="FFDBEAFE"/>
        <bgColor rgb="FFDBEAFE"/>
      </patternFill>
    </fill>
    <fill>
      <patternFill patternType="solid">
        <fgColor rgb="FFFFFF00"/>
        <bgColor rgb="FFFFFF00"/>
      </patternFill>
    </fill>
    <fill>
      <patternFill patternType="solid">
        <fgColor rgb="FFF1F5F9"/>
        <bgColor rgb="FFF1F5F9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/>
      <top style="double">
        <color rgb="FF0B112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4" fillId="2" borderId="4" xfId="0" applyFont="1" applyFill="1" applyBorder="1" applyAlignment="1"/>
    <xf numFmtId="0" fontId="6" fillId="0" borderId="0" xfId="0" applyFont="1" applyAlignment="1"/>
    <xf numFmtId="0" fontId="6" fillId="0" borderId="0" xfId="0" applyFont="1" applyAlignment="1"/>
    <xf numFmtId="164" fontId="7" fillId="4" borderId="4" xfId="0" applyNumberFormat="1" applyFont="1" applyFill="1" applyBorder="1" applyAlignment="1"/>
    <xf numFmtId="164" fontId="7" fillId="0" borderId="0" xfId="0" applyNumberFormat="1" applyFont="1" applyAlignment="1"/>
    <xf numFmtId="165" fontId="6" fillId="0" borderId="0" xfId="0" applyNumberFormat="1" applyFont="1" applyAlignment="1"/>
    <xf numFmtId="0" fontId="7" fillId="0" borderId="0" xfId="0" applyFont="1" applyAlignment="1"/>
    <xf numFmtId="165" fontId="8" fillId="0" borderId="0" xfId="0" applyNumberFormat="1" applyFont="1" applyAlignment="1"/>
    <xf numFmtId="0" fontId="8" fillId="0" borderId="0" xfId="0" applyFont="1" applyAlignment="1"/>
    <xf numFmtId="165" fontId="7" fillId="0" borderId="0" xfId="0" applyNumberFormat="1" applyFont="1" applyAlignment="1"/>
    <xf numFmtId="0" fontId="6" fillId="4" borderId="4" xfId="0" applyFont="1" applyFill="1" applyBorder="1" applyAlignment="1"/>
    <xf numFmtId="0" fontId="9" fillId="0" borderId="0" xfId="0" applyFont="1" applyAlignment="1"/>
    <xf numFmtId="165" fontId="6" fillId="0" borderId="5" xfId="0" applyNumberFormat="1" applyFont="1" applyBorder="1" applyAlignment="1"/>
    <xf numFmtId="165" fontId="7" fillId="4" borderId="4" xfId="0" applyNumberFormat="1" applyFont="1" applyFill="1" applyBorder="1" applyAlignment="1"/>
    <xf numFmtId="3" fontId="7" fillId="4" borderId="4" xfId="0" applyNumberFormat="1" applyFont="1" applyFill="1" applyBorder="1" applyAlignment="1"/>
    <xf numFmtId="0" fontId="10" fillId="0" borderId="0" xfId="0" applyFont="1" applyAlignment="1"/>
    <xf numFmtId="164" fontId="8" fillId="0" borderId="0" xfId="0" applyNumberFormat="1" applyFont="1" applyAlignment="1"/>
    <xf numFmtId="165" fontId="10" fillId="0" borderId="6" xfId="0" applyNumberFormat="1" applyFont="1" applyBorder="1" applyAlignment="1"/>
    <xf numFmtId="164" fontId="7" fillId="3" borderId="4" xfId="0" applyNumberFormat="1" applyFont="1" applyFill="1" applyBorder="1" applyAlignment="1"/>
    <xf numFmtId="0" fontId="11" fillId="0" borderId="0" xfId="0" applyFont="1" applyAlignment="1"/>
    <xf numFmtId="3" fontId="11" fillId="0" borderId="0" xfId="0" applyNumberFormat="1" applyFont="1" applyAlignment="1"/>
    <xf numFmtId="165" fontId="6" fillId="5" borderId="4" xfId="0" applyNumberFormat="1" applyFont="1" applyFill="1" applyBorder="1" applyAlignment="1"/>
    <xf numFmtId="164" fontId="6" fillId="5" borderId="4" xfId="0" applyNumberFormat="1" applyFont="1" applyFill="1" applyBorder="1" applyAlignment="1"/>
    <xf numFmtId="2" fontId="6" fillId="5" borderId="4" xfId="0" applyNumberFormat="1" applyFont="1" applyFill="1" applyBorder="1" applyAlignment="1"/>
    <xf numFmtId="166" fontId="6" fillId="5" borderId="4" xfId="0" applyNumberFormat="1" applyFont="1" applyFill="1" applyBorder="1" applyAlignment="1"/>
    <xf numFmtId="0" fontId="1" fillId="2" borderId="1" xfId="0" applyFont="1" applyFill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/>
    <xf numFmtId="0" fontId="0" fillId="0" borderId="0" xfId="0" applyFont="1" applyAlignment="1"/>
    <xf numFmtId="0" fontId="5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sqref="A1:F1"/>
    </sheetView>
  </sheetViews>
  <sheetFormatPr defaultColWidth="14.453125" defaultRowHeight="15" customHeight="1"/>
  <cols>
    <col min="1" max="1" width="110" customWidth="1"/>
    <col min="2" max="2" width="45" customWidth="1"/>
    <col min="3" max="26" width="8.7265625" customWidth="1"/>
  </cols>
  <sheetData>
    <row r="1" spans="1:6" ht="25.5" customHeight="1">
      <c r="A1" s="26" t="s">
        <v>1</v>
      </c>
      <c r="B1" s="27"/>
      <c r="C1" s="27"/>
      <c r="D1" s="27"/>
      <c r="E1" s="27"/>
      <c r="F1" s="28"/>
    </row>
    <row r="2" spans="1:6" ht="14.5">
      <c r="A2" s="29" t="s">
        <v>6</v>
      </c>
      <c r="B2" s="30"/>
      <c r="C2" s="30"/>
      <c r="D2" s="30"/>
      <c r="E2" s="30"/>
      <c r="F2" s="30"/>
    </row>
    <row r="4" spans="1:6" ht="14.5">
      <c r="A4" s="31" t="s">
        <v>11</v>
      </c>
      <c r="B4" s="27"/>
      <c r="C4" s="27"/>
      <c r="D4" s="27"/>
      <c r="E4" s="27"/>
      <c r="F4" s="28"/>
    </row>
    <row r="5" spans="1:6" ht="14.5">
      <c r="A5" s="2" t="s">
        <v>16</v>
      </c>
    </row>
    <row r="6" spans="1:6" ht="14.5">
      <c r="A6" s="3" t="s">
        <v>18</v>
      </c>
    </row>
    <row r="7" spans="1:6" ht="14.5">
      <c r="A7" s="2" t="s">
        <v>22</v>
      </c>
    </row>
    <row r="8" spans="1:6" ht="14.5">
      <c r="A8" s="2" t="s">
        <v>24</v>
      </c>
    </row>
    <row r="9" spans="1:6" ht="14.5">
      <c r="A9" s="3" t="s">
        <v>26</v>
      </c>
    </row>
    <row r="11" spans="1:6" ht="14.5">
      <c r="A11" s="31" t="s">
        <v>28</v>
      </c>
      <c r="B11" s="27"/>
      <c r="C11" s="27"/>
      <c r="D11" s="27"/>
      <c r="E11" s="27"/>
      <c r="F11" s="28"/>
    </row>
    <row r="12" spans="1:6" ht="14.5">
      <c r="A12" s="7" t="s">
        <v>30</v>
      </c>
      <c r="B12" s="3" t="s">
        <v>32</v>
      </c>
    </row>
    <row r="13" spans="1:6" ht="14.5">
      <c r="A13" s="2" t="s">
        <v>33</v>
      </c>
      <c r="B13" s="3" t="s">
        <v>34</v>
      </c>
    </row>
    <row r="14" spans="1:6" ht="14.5">
      <c r="A14" s="9" t="s">
        <v>35</v>
      </c>
      <c r="B14" s="2" t="s">
        <v>36</v>
      </c>
    </row>
    <row r="15" spans="1:6" ht="14.5">
      <c r="A15" s="11" t="s">
        <v>37</v>
      </c>
      <c r="B15" s="2" t="s">
        <v>39</v>
      </c>
    </row>
    <row r="17" spans="1:6" ht="14.5">
      <c r="A17" s="31" t="s">
        <v>40</v>
      </c>
      <c r="B17" s="27"/>
      <c r="C17" s="27"/>
      <c r="D17" s="27"/>
      <c r="E17" s="27"/>
      <c r="F17" s="28"/>
    </row>
    <row r="18" spans="1:6" ht="14.5">
      <c r="A18" s="12" t="s">
        <v>43</v>
      </c>
    </row>
    <row r="19" spans="1:6" ht="14.5">
      <c r="A19" s="12" t="s">
        <v>44</v>
      </c>
    </row>
    <row r="20" spans="1:6" ht="14.5">
      <c r="A20" s="12" t="s">
        <v>45</v>
      </c>
    </row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F1"/>
    <mergeCell ref="A2:F2"/>
    <mergeCell ref="A4:F4"/>
    <mergeCell ref="A11:F11"/>
    <mergeCell ref="A17:F17"/>
  </mergeCell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defaultColWidth="14.453125" defaultRowHeight="15" customHeight="1"/>
  <cols>
    <col min="1" max="1" width="46" customWidth="1"/>
    <col min="2" max="6" width="14" customWidth="1"/>
    <col min="7" max="26" width="8.7265625" customWidth="1"/>
  </cols>
  <sheetData>
    <row r="1" spans="1:4" ht="25.5" customHeight="1">
      <c r="A1" s="26" t="s">
        <v>3</v>
      </c>
      <c r="B1" s="27"/>
      <c r="C1" s="27"/>
      <c r="D1" s="28"/>
    </row>
    <row r="2" spans="1:4" ht="14.5">
      <c r="A2" s="29" t="s">
        <v>4</v>
      </c>
      <c r="B2" s="30"/>
      <c r="C2" s="30"/>
      <c r="D2" s="30"/>
    </row>
    <row r="4" spans="1:4" ht="14.5">
      <c r="A4" s="31" t="s">
        <v>8</v>
      </c>
      <c r="B4" s="27"/>
      <c r="C4" s="27"/>
      <c r="D4" s="28"/>
    </row>
    <row r="5" spans="1:4" ht="14.5">
      <c r="A5" s="2" t="s">
        <v>15</v>
      </c>
      <c r="B5" s="4">
        <v>0.12</v>
      </c>
    </row>
    <row r="6" spans="1:4" ht="14.5">
      <c r="A6" s="2" t="s">
        <v>25</v>
      </c>
      <c r="B6" s="5">
        <v>0.05</v>
      </c>
    </row>
    <row r="7" spans="1:4" ht="14.5">
      <c r="A7" s="2" t="s">
        <v>29</v>
      </c>
      <c r="B7" s="5">
        <v>0.03</v>
      </c>
    </row>
    <row r="9" spans="1:4" ht="14.5">
      <c r="A9" s="31" t="s">
        <v>31</v>
      </c>
      <c r="B9" s="27"/>
      <c r="C9" s="27"/>
      <c r="D9" s="28"/>
    </row>
    <row r="10" spans="1:4" ht="14.5">
      <c r="A10" s="2" t="s">
        <v>23</v>
      </c>
      <c r="B10" s="10">
        <v>250000</v>
      </c>
    </row>
    <row r="11" spans="1:4" ht="14.5">
      <c r="A11" s="2" t="s">
        <v>38</v>
      </c>
      <c r="B11" s="10">
        <v>60000</v>
      </c>
    </row>
    <row r="12" spans="1:4" ht="14.5">
      <c r="A12" s="2" t="s">
        <v>41</v>
      </c>
      <c r="B12" s="10">
        <v>40000</v>
      </c>
    </row>
    <row r="14" spans="1:4" ht="14.5">
      <c r="A14" s="31" t="s">
        <v>42</v>
      </c>
      <c r="B14" s="27"/>
      <c r="C14" s="27"/>
      <c r="D14" s="28"/>
    </row>
    <row r="15" spans="1:4" ht="14.5">
      <c r="A15" s="2" t="s">
        <v>46</v>
      </c>
      <c r="B15" s="14">
        <v>120000</v>
      </c>
    </row>
    <row r="16" spans="1:4" ht="14.5">
      <c r="A16" s="2" t="s">
        <v>48</v>
      </c>
      <c r="B16" s="10">
        <v>36000</v>
      </c>
    </row>
    <row r="17" spans="1:6" ht="14.5">
      <c r="A17" s="2" t="s">
        <v>49</v>
      </c>
      <c r="B17" s="10">
        <v>18000</v>
      </c>
    </row>
    <row r="18" spans="1:6" ht="14.5">
      <c r="A18" s="2" t="s">
        <v>50</v>
      </c>
      <c r="B18" s="10">
        <v>10000</v>
      </c>
    </row>
    <row r="20" spans="1:6" ht="14.5">
      <c r="A20" s="31" t="s">
        <v>51</v>
      </c>
      <c r="B20" s="27"/>
      <c r="C20" s="27"/>
      <c r="D20" s="28"/>
    </row>
    <row r="21" spans="1:6" ht="15.75" customHeight="1">
      <c r="A21" s="2" t="s">
        <v>52</v>
      </c>
      <c r="B21" s="15">
        <v>12</v>
      </c>
    </row>
    <row r="22" spans="1:6" ht="15.75" customHeight="1">
      <c r="A22" s="2" t="s">
        <v>53</v>
      </c>
      <c r="B22" s="15">
        <v>27</v>
      </c>
    </row>
    <row r="23" spans="1:6" ht="15.75" customHeight="1">
      <c r="A23" s="2" t="s">
        <v>54</v>
      </c>
      <c r="B23" s="10">
        <v>65</v>
      </c>
    </row>
    <row r="24" spans="1:6" ht="15.75" customHeight="1">
      <c r="A24" s="2" t="s">
        <v>55</v>
      </c>
      <c r="B24" s="10">
        <v>120000</v>
      </c>
    </row>
    <row r="25" spans="1:6" ht="15.75" customHeight="1">
      <c r="A25" s="2" t="s">
        <v>56</v>
      </c>
      <c r="B25" s="10">
        <v>150000</v>
      </c>
    </row>
    <row r="26" spans="1:6" ht="15.75" customHeight="1"/>
    <row r="27" spans="1:6" ht="15.75" customHeight="1">
      <c r="A27" s="31" t="s">
        <v>58</v>
      </c>
      <c r="B27" s="27"/>
      <c r="C27" s="27"/>
      <c r="D27" s="28"/>
    </row>
    <row r="28" spans="1:6" ht="15.75" customHeight="1">
      <c r="A28" s="16" t="s">
        <v>59</v>
      </c>
      <c r="B28" s="16" t="s">
        <v>60</v>
      </c>
      <c r="C28" s="16" t="s">
        <v>61</v>
      </c>
      <c r="D28" s="16" t="s">
        <v>62</v>
      </c>
      <c r="E28" s="16" t="s">
        <v>63</v>
      </c>
      <c r="F28" s="16" t="s">
        <v>64</v>
      </c>
    </row>
    <row r="29" spans="1:6" ht="15.75" customHeight="1">
      <c r="A29" s="2" t="s">
        <v>65</v>
      </c>
      <c r="B29" s="4">
        <v>0.5</v>
      </c>
      <c r="C29" s="4">
        <v>0.8</v>
      </c>
      <c r="D29" s="4">
        <v>1</v>
      </c>
      <c r="E29" s="4">
        <v>1</v>
      </c>
      <c r="F29" s="4">
        <v>1</v>
      </c>
    </row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0:D20"/>
    <mergeCell ref="A27:D27"/>
    <mergeCell ref="A1:D1"/>
    <mergeCell ref="A2:D2"/>
    <mergeCell ref="A4:D4"/>
    <mergeCell ref="A9:D9"/>
    <mergeCell ref="A14:D14"/>
  </mergeCells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53125" defaultRowHeight="15" customHeight="1"/>
  <cols>
    <col min="1" max="1" width="40" customWidth="1"/>
    <col min="2" max="8" width="13" customWidth="1"/>
    <col min="9" max="26" width="8.7265625" customWidth="1"/>
  </cols>
  <sheetData>
    <row r="1" spans="1:8" ht="25.5" customHeight="1">
      <c r="A1" s="26" t="s">
        <v>0</v>
      </c>
      <c r="B1" s="27"/>
      <c r="C1" s="27"/>
      <c r="D1" s="27"/>
      <c r="E1" s="27"/>
      <c r="F1" s="27"/>
      <c r="G1" s="27"/>
      <c r="H1" s="28"/>
    </row>
    <row r="2" spans="1:8" ht="14.5">
      <c r="A2" s="29" t="s">
        <v>5</v>
      </c>
      <c r="B2" s="30"/>
      <c r="C2" s="30"/>
      <c r="D2" s="30"/>
      <c r="E2" s="30"/>
      <c r="F2" s="30"/>
      <c r="G2" s="30"/>
      <c r="H2" s="30"/>
    </row>
    <row r="4" spans="1:8" ht="14.5">
      <c r="A4" s="1" t="s">
        <v>7</v>
      </c>
      <c r="B4" s="1" t="s">
        <v>10</v>
      </c>
      <c r="C4" s="1" t="s">
        <v>13</v>
      </c>
      <c r="D4" s="1" t="s">
        <v>14</v>
      </c>
      <c r="E4" s="1" t="s">
        <v>17</v>
      </c>
      <c r="F4" s="1" t="s">
        <v>19</v>
      </c>
      <c r="G4" s="1" t="s">
        <v>20</v>
      </c>
      <c r="H4" s="1" t="s">
        <v>21</v>
      </c>
    </row>
    <row r="5" spans="1:8" ht="14.5">
      <c r="A5" s="2" t="s">
        <v>23</v>
      </c>
      <c r="B5" s="8">
        <f>Assumptions!$B$10</f>
        <v>250000</v>
      </c>
      <c r="C5" s="8">
        <f t="shared" ref="C5:G5" si="0">0</f>
        <v>0</v>
      </c>
      <c r="D5" s="8">
        <f t="shared" si="0"/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  <c r="H5" s="13">
        <f t="shared" ref="H5:H11" si="1">SUM(B5:G5)</f>
        <v>250000</v>
      </c>
    </row>
    <row r="6" spans="1:8" ht="14.5">
      <c r="A6" s="2" t="s">
        <v>47</v>
      </c>
      <c r="B6" s="8">
        <f>Assumptions!$B$11</f>
        <v>60000</v>
      </c>
      <c r="C6" s="8">
        <f t="shared" ref="C6:G6" si="2">0</f>
        <v>0</v>
      </c>
      <c r="D6" s="8">
        <f t="shared" si="2"/>
        <v>0</v>
      </c>
      <c r="E6" s="8">
        <f t="shared" si="2"/>
        <v>0</v>
      </c>
      <c r="F6" s="8">
        <f t="shared" si="2"/>
        <v>0</v>
      </c>
      <c r="G6" s="8">
        <f t="shared" si="2"/>
        <v>0</v>
      </c>
      <c r="H6" s="13">
        <f t="shared" si="1"/>
        <v>60000</v>
      </c>
    </row>
    <row r="7" spans="1:8" ht="14.5">
      <c r="A7" s="2" t="s">
        <v>41</v>
      </c>
      <c r="B7" s="8">
        <f>Assumptions!$B$12</f>
        <v>40000</v>
      </c>
      <c r="C7" s="8">
        <f t="shared" ref="C7:G7" si="3">0</f>
        <v>0</v>
      </c>
      <c r="D7" s="8">
        <f t="shared" si="3"/>
        <v>0</v>
      </c>
      <c r="E7" s="8">
        <f t="shared" si="3"/>
        <v>0</v>
      </c>
      <c r="F7" s="8">
        <f t="shared" si="3"/>
        <v>0</v>
      </c>
      <c r="G7" s="8">
        <f t="shared" si="3"/>
        <v>0</v>
      </c>
      <c r="H7" s="13">
        <f t="shared" si="1"/>
        <v>40000</v>
      </c>
    </row>
    <row r="8" spans="1:8" ht="14.5">
      <c r="A8" s="2" t="s">
        <v>46</v>
      </c>
      <c r="B8" s="6">
        <v>0</v>
      </c>
      <c r="C8" s="8">
        <f>Assumptions!$B$15*(1+Assumptions!$B$6)^0</f>
        <v>120000</v>
      </c>
      <c r="D8" s="8">
        <f>Assumptions!$B$15*(1+Assumptions!$B$6)^1</f>
        <v>126000</v>
      </c>
      <c r="E8" s="8">
        <f>Assumptions!$B$15*(1+Assumptions!$B$6)^2</f>
        <v>132300</v>
      </c>
      <c r="F8" s="8">
        <f>Assumptions!$B$15*(1+Assumptions!$B$6)^3</f>
        <v>138915.00000000003</v>
      </c>
      <c r="G8" s="8">
        <f>Assumptions!$B$15*(1+Assumptions!$B$6)^4</f>
        <v>145860.75</v>
      </c>
      <c r="H8" s="13">
        <f t="shared" si="1"/>
        <v>663075.75</v>
      </c>
    </row>
    <row r="9" spans="1:8" ht="14.5">
      <c r="A9" s="2" t="s">
        <v>48</v>
      </c>
      <c r="B9" s="6">
        <v>0</v>
      </c>
      <c r="C9" s="8">
        <f>Assumptions!$B$16*(1+Assumptions!$B$6)^0</f>
        <v>36000</v>
      </c>
      <c r="D9" s="8">
        <f>Assumptions!$B$16*(1+Assumptions!$B$6)^1</f>
        <v>37800</v>
      </c>
      <c r="E9" s="8">
        <f>Assumptions!$B$16*(1+Assumptions!$B$6)^2</f>
        <v>39690</v>
      </c>
      <c r="F9" s="8">
        <f>Assumptions!$B$16*(1+Assumptions!$B$6)^3</f>
        <v>41674.500000000007</v>
      </c>
      <c r="G9" s="8">
        <f>Assumptions!$B$16*(1+Assumptions!$B$6)^4</f>
        <v>43758.224999999999</v>
      </c>
      <c r="H9" s="13">
        <f t="shared" si="1"/>
        <v>198922.72500000001</v>
      </c>
    </row>
    <row r="10" spans="1:8" ht="14.5">
      <c r="A10" s="2" t="s">
        <v>49</v>
      </c>
      <c r="B10" s="6">
        <v>0</v>
      </c>
      <c r="C10" s="8">
        <f>Assumptions!$B$17*(1+Assumptions!$B$6)^0</f>
        <v>18000</v>
      </c>
      <c r="D10" s="8">
        <f>Assumptions!$B$17*(1+Assumptions!$B$6)^1</f>
        <v>18900</v>
      </c>
      <c r="E10" s="8">
        <f>Assumptions!$B$17*(1+Assumptions!$B$6)^2</f>
        <v>19845</v>
      </c>
      <c r="F10" s="8">
        <f>Assumptions!$B$17*(1+Assumptions!$B$6)^3</f>
        <v>20837.250000000004</v>
      </c>
      <c r="G10" s="8">
        <f>Assumptions!$B$17*(1+Assumptions!$B$6)^4</f>
        <v>21879.112499999999</v>
      </c>
      <c r="H10" s="13">
        <f t="shared" si="1"/>
        <v>99461.362500000003</v>
      </c>
    </row>
    <row r="11" spans="1:8" ht="14.5">
      <c r="A11" s="2" t="s">
        <v>50</v>
      </c>
      <c r="B11" s="6">
        <v>0</v>
      </c>
      <c r="C11" s="8">
        <f>Assumptions!$B$18*(1+Assumptions!$B$6)^0</f>
        <v>10000</v>
      </c>
      <c r="D11" s="8">
        <f>Assumptions!$B$18*(1+Assumptions!$B$6)^1</f>
        <v>10500</v>
      </c>
      <c r="E11" s="8">
        <f>Assumptions!$B$18*(1+Assumptions!$B$6)^2</f>
        <v>11025</v>
      </c>
      <c r="F11" s="8">
        <f>Assumptions!$B$18*(1+Assumptions!$B$6)^3</f>
        <v>11576.250000000002</v>
      </c>
      <c r="G11" s="8">
        <f>Assumptions!$B$18*(1+Assumptions!$B$6)^4</f>
        <v>12155.0625</v>
      </c>
      <c r="H11" s="13">
        <f t="shared" si="1"/>
        <v>55256.3125</v>
      </c>
    </row>
    <row r="12" spans="1:8" ht="14.5">
      <c r="A12" s="16" t="s">
        <v>70</v>
      </c>
      <c r="B12" s="18">
        <f t="shared" ref="B12:H12" si="4">SUM(B5:B11)</f>
        <v>350000</v>
      </c>
      <c r="C12" s="18">
        <f t="shared" si="4"/>
        <v>184000</v>
      </c>
      <c r="D12" s="18">
        <f t="shared" si="4"/>
        <v>193200</v>
      </c>
      <c r="E12" s="18">
        <f t="shared" si="4"/>
        <v>202860</v>
      </c>
      <c r="F12" s="18">
        <f t="shared" si="4"/>
        <v>213003.00000000003</v>
      </c>
      <c r="G12" s="18">
        <f t="shared" si="4"/>
        <v>223653.15</v>
      </c>
      <c r="H12" s="18">
        <f t="shared" si="4"/>
        <v>1366716.1500000001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2:H2"/>
  </mergeCells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53125" defaultRowHeight="15" customHeight="1"/>
  <cols>
    <col min="1" max="1" width="46" customWidth="1"/>
    <col min="2" max="8" width="13" customWidth="1"/>
    <col min="9" max="26" width="8.7265625" customWidth="1"/>
  </cols>
  <sheetData>
    <row r="1" spans="1:8" ht="25.5" customHeight="1">
      <c r="A1" s="26" t="s">
        <v>2</v>
      </c>
      <c r="B1" s="27"/>
      <c r="C1" s="27"/>
      <c r="D1" s="27"/>
      <c r="E1" s="27"/>
      <c r="F1" s="27"/>
      <c r="G1" s="27"/>
      <c r="H1" s="28"/>
    </row>
    <row r="2" spans="1:8" ht="14.5">
      <c r="A2" s="29" t="s">
        <v>9</v>
      </c>
      <c r="B2" s="30"/>
      <c r="C2" s="30"/>
      <c r="D2" s="30"/>
      <c r="E2" s="30"/>
      <c r="F2" s="30"/>
      <c r="G2" s="30"/>
      <c r="H2" s="30"/>
    </row>
    <row r="4" spans="1:8" ht="14.5">
      <c r="A4" s="1" t="s">
        <v>12</v>
      </c>
      <c r="B4" s="1" t="s">
        <v>10</v>
      </c>
      <c r="C4" s="1" t="s">
        <v>13</v>
      </c>
      <c r="D4" s="1" t="s">
        <v>14</v>
      </c>
      <c r="E4" s="1" t="s">
        <v>17</v>
      </c>
      <c r="F4" s="1" t="s">
        <v>19</v>
      </c>
      <c r="G4" s="1" t="s">
        <v>20</v>
      </c>
      <c r="H4" s="1" t="s">
        <v>21</v>
      </c>
    </row>
    <row r="5" spans="1:8" ht="14.5">
      <c r="A5" s="3" t="s">
        <v>27</v>
      </c>
      <c r="B5" s="6">
        <v>0</v>
      </c>
      <c r="C5" s="8">
        <f>Assumptions!$B$21*Assumptions!$B$22*12*Assumptions!$B$23*(1+Assumptions!$B$7)^0</f>
        <v>252720</v>
      </c>
      <c r="D5" s="8">
        <f>Assumptions!$B$21*Assumptions!$B$22*12*Assumptions!$B$23*(1+Assumptions!$B$7)^1</f>
        <v>260301.6</v>
      </c>
      <c r="E5" s="8">
        <f>Assumptions!$B$21*Assumptions!$B$22*12*Assumptions!$B$23*(1+Assumptions!$B$7)^2</f>
        <v>268110.64799999999</v>
      </c>
      <c r="F5" s="8">
        <f>Assumptions!$B$21*Assumptions!$B$22*12*Assumptions!$B$23*(1+Assumptions!$B$7)^3</f>
        <v>276153.96743999998</v>
      </c>
      <c r="G5" s="8">
        <f>Assumptions!$B$21*Assumptions!$B$22*12*Assumptions!$B$23*(1+Assumptions!$B$7)^4</f>
        <v>284438.58646319999</v>
      </c>
      <c r="H5" s="6">
        <f t="shared" ref="H5:H7" si="0">SUM(B5:G5)</f>
        <v>1341724.8019031999</v>
      </c>
    </row>
    <row r="6" spans="1:8" ht="14.5">
      <c r="A6" s="3" t="s">
        <v>57</v>
      </c>
      <c r="B6" s="6">
        <v>0</v>
      </c>
      <c r="C6" s="8">
        <f>Assumptions!$B$24*(1+Assumptions!$B$7)^0</f>
        <v>120000</v>
      </c>
      <c r="D6" s="8">
        <f>Assumptions!$B$24*(1+Assumptions!$B$7)^1</f>
        <v>123600</v>
      </c>
      <c r="E6" s="8">
        <f>Assumptions!$B$24*(1+Assumptions!$B$7)^2</f>
        <v>127308</v>
      </c>
      <c r="F6" s="8">
        <f>Assumptions!$B$24*(1+Assumptions!$B$7)^3</f>
        <v>131127.24</v>
      </c>
      <c r="G6" s="8">
        <f>Assumptions!$B$24*(1+Assumptions!$B$7)^4</f>
        <v>135061.05719999998</v>
      </c>
      <c r="H6" s="6">
        <f t="shared" si="0"/>
        <v>637096.29719999991</v>
      </c>
    </row>
    <row r="7" spans="1:8" ht="14.5">
      <c r="A7" s="3" t="s">
        <v>66</v>
      </c>
      <c r="B7" s="6">
        <v>0</v>
      </c>
      <c r="C7" s="8">
        <f>Assumptions!$B$25*(1+Assumptions!$B$7)^0</f>
        <v>150000</v>
      </c>
      <c r="D7" s="8">
        <f>Assumptions!$B$25*(1+Assumptions!$B$7)^1</f>
        <v>154500</v>
      </c>
      <c r="E7" s="8">
        <f>Assumptions!$B$25*(1+Assumptions!$B$7)^2</f>
        <v>159135</v>
      </c>
      <c r="F7" s="8">
        <f>Assumptions!$B$25*(1+Assumptions!$B$7)^3</f>
        <v>163909.04999999999</v>
      </c>
      <c r="G7" s="8">
        <f>Assumptions!$B$25*(1+Assumptions!$B$7)^4</f>
        <v>168826.32149999999</v>
      </c>
      <c r="H7" s="6">
        <f t="shared" si="0"/>
        <v>796370.37150000001</v>
      </c>
    </row>
    <row r="8" spans="1:8" ht="14.5">
      <c r="A8" s="2" t="s">
        <v>67</v>
      </c>
      <c r="B8" s="3" t="s">
        <v>68</v>
      </c>
      <c r="C8" s="17">
        <f>Assumptions!B$29</f>
        <v>0.5</v>
      </c>
      <c r="D8" s="17">
        <f>Assumptions!C$29</f>
        <v>0.8</v>
      </c>
      <c r="E8" s="17">
        <f>Assumptions!D$29</f>
        <v>1</v>
      </c>
      <c r="F8" s="17">
        <f>Assumptions!E$29</f>
        <v>1</v>
      </c>
      <c r="G8" s="17">
        <f>Assumptions!F$29</f>
        <v>1</v>
      </c>
    </row>
    <row r="9" spans="1:8" ht="14.5">
      <c r="A9" s="16" t="s">
        <v>69</v>
      </c>
      <c r="B9" s="18">
        <v>0</v>
      </c>
      <c r="C9" s="18">
        <f t="shared" ref="C9:G9" si="1">(C5+C6+C7)*C8</f>
        <v>261360</v>
      </c>
      <c r="D9" s="18">
        <f t="shared" si="1"/>
        <v>430721.28000000003</v>
      </c>
      <c r="E9" s="18">
        <f t="shared" si="1"/>
        <v>554553.64800000004</v>
      </c>
      <c r="F9" s="18">
        <f t="shared" si="1"/>
        <v>571190.25743999996</v>
      </c>
      <c r="G9" s="18">
        <f t="shared" si="1"/>
        <v>588325.96516319993</v>
      </c>
      <c r="H9" s="18">
        <f>SUM(B9:G9)</f>
        <v>2406151.1506032003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2:H2"/>
  </mergeCells>
  <pageMargins left="0.75" right="0.75" top="1" bottom="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53125" defaultRowHeight="15" customHeight="1"/>
  <cols>
    <col min="1" max="1" width="34" customWidth="1"/>
    <col min="2" max="8" width="13" customWidth="1"/>
    <col min="9" max="26" width="8.7265625" customWidth="1"/>
  </cols>
  <sheetData>
    <row r="1" spans="1:8" ht="25.5" customHeight="1">
      <c r="A1" s="26" t="s">
        <v>71</v>
      </c>
      <c r="B1" s="27"/>
      <c r="C1" s="27"/>
      <c r="D1" s="27"/>
      <c r="E1" s="27"/>
      <c r="F1" s="27"/>
      <c r="G1" s="27"/>
      <c r="H1" s="28"/>
    </row>
    <row r="2" spans="1:8" ht="14.5">
      <c r="A2" s="29" t="s">
        <v>72</v>
      </c>
      <c r="B2" s="30"/>
      <c r="C2" s="30"/>
      <c r="D2" s="30"/>
      <c r="E2" s="30"/>
      <c r="F2" s="30"/>
      <c r="G2" s="30"/>
      <c r="H2" s="30"/>
    </row>
    <row r="4" spans="1:8" ht="14.5">
      <c r="A4" s="1"/>
      <c r="B4" s="1" t="s">
        <v>10</v>
      </c>
      <c r="C4" s="1" t="s">
        <v>13</v>
      </c>
      <c r="D4" s="1" t="s">
        <v>14</v>
      </c>
      <c r="E4" s="1" t="s">
        <v>17</v>
      </c>
      <c r="F4" s="1" t="s">
        <v>19</v>
      </c>
      <c r="G4" s="1" t="s">
        <v>20</v>
      </c>
      <c r="H4" s="1" t="s">
        <v>21</v>
      </c>
    </row>
    <row r="5" spans="1:8" ht="14.5">
      <c r="A5" s="2" t="s">
        <v>73</v>
      </c>
      <c r="B5" s="8">
        <f>Benefits!B$9</f>
        <v>0</v>
      </c>
      <c r="C5" s="8">
        <f>Benefits!C$9</f>
        <v>261360</v>
      </c>
      <c r="D5" s="8">
        <f>Benefits!D$9</f>
        <v>430721.28000000003</v>
      </c>
      <c r="E5" s="8">
        <f>Benefits!E$9</f>
        <v>554553.64800000004</v>
      </c>
      <c r="F5" s="8">
        <f>Benefits!F$9</f>
        <v>571190.25743999996</v>
      </c>
      <c r="G5" s="8">
        <f>Benefits!G$9</f>
        <v>588325.96516319993</v>
      </c>
      <c r="H5" s="8">
        <f>Benefits!H$9</f>
        <v>2406151.1506032003</v>
      </c>
    </row>
    <row r="6" spans="1:8" ht="14.5">
      <c r="A6" s="2" t="s">
        <v>70</v>
      </c>
      <c r="B6" s="8">
        <f>-TCO!B$12</f>
        <v>-350000</v>
      </c>
      <c r="C6" s="8">
        <f>-TCO!C$12</f>
        <v>-184000</v>
      </c>
      <c r="D6" s="8">
        <f>-TCO!D$12</f>
        <v>-193200</v>
      </c>
      <c r="E6" s="8">
        <f>-TCO!E$12</f>
        <v>-202860</v>
      </c>
      <c r="F6" s="8">
        <f>-TCO!F$12</f>
        <v>-213003.00000000003</v>
      </c>
      <c r="G6" s="8">
        <f>-TCO!G$12</f>
        <v>-223653.15</v>
      </c>
      <c r="H6" s="8">
        <f>-TCO!H$12</f>
        <v>-1366716.1500000001</v>
      </c>
    </row>
    <row r="7" spans="1:8" ht="14.5">
      <c r="A7" s="16" t="s">
        <v>77</v>
      </c>
      <c r="B7" s="18">
        <f t="shared" ref="B7:H7" si="0">B5+B6</f>
        <v>-350000</v>
      </c>
      <c r="C7" s="18">
        <f t="shared" si="0"/>
        <v>77360</v>
      </c>
      <c r="D7" s="18">
        <f t="shared" si="0"/>
        <v>237521.28000000003</v>
      </c>
      <c r="E7" s="18">
        <f t="shared" si="0"/>
        <v>351693.64800000004</v>
      </c>
      <c r="F7" s="18">
        <f t="shared" si="0"/>
        <v>358187.25743999996</v>
      </c>
      <c r="G7" s="18">
        <f t="shared" si="0"/>
        <v>364672.81516319991</v>
      </c>
      <c r="H7" s="18">
        <f t="shared" si="0"/>
        <v>1039435.0006032002</v>
      </c>
    </row>
    <row r="8" spans="1:8" ht="14.5">
      <c r="A8" s="2" t="s">
        <v>78</v>
      </c>
      <c r="B8" s="6">
        <f>B7</f>
        <v>-350000</v>
      </c>
      <c r="C8" s="6">
        <f t="shared" ref="C8:G8" si="1">B8+C7</f>
        <v>-272640</v>
      </c>
      <c r="D8" s="6">
        <f t="shared" si="1"/>
        <v>-35118.719999999972</v>
      </c>
      <c r="E8" s="6">
        <f t="shared" si="1"/>
        <v>316574.92800000007</v>
      </c>
      <c r="F8" s="6">
        <f t="shared" si="1"/>
        <v>674762.18544000003</v>
      </c>
      <c r="G8" s="6">
        <f t="shared" si="1"/>
        <v>1039435.0006031999</v>
      </c>
    </row>
    <row r="9" spans="1:8" ht="14.5">
      <c r="A9" s="20" t="s">
        <v>79</v>
      </c>
      <c r="B9" s="21">
        <f t="shared" ref="B9:G9" si="2">IF(B8&gt;=0,1,0)</f>
        <v>0</v>
      </c>
      <c r="C9" s="21">
        <f t="shared" si="2"/>
        <v>0</v>
      </c>
      <c r="D9" s="21">
        <f t="shared" si="2"/>
        <v>0</v>
      </c>
      <c r="E9" s="21">
        <f t="shared" si="2"/>
        <v>1</v>
      </c>
      <c r="F9" s="21">
        <f t="shared" si="2"/>
        <v>1</v>
      </c>
      <c r="G9" s="21">
        <f t="shared" si="2"/>
        <v>1</v>
      </c>
    </row>
    <row r="11" spans="1:8" ht="14.5">
      <c r="A11" s="31" t="s">
        <v>80</v>
      </c>
      <c r="B11" s="27"/>
      <c r="C11" s="27"/>
      <c r="D11" s="27"/>
      <c r="E11" s="27"/>
      <c r="F11" s="27"/>
      <c r="G11" s="27"/>
      <c r="H11" s="28"/>
    </row>
    <row r="12" spans="1:8" ht="14.5">
      <c r="A12" s="16" t="s">
        <v>81</v>
      </c>
      <c r="B12" s="22">
        <f t="array" ref="B12">NPV(Assumptions!$B$5,C7:G7)+B7</f>
        <v>593310.15713482222</v>
      </c>
      <c r="C12" s="20" t="s">
        <v>82</v>
      </c>
    </row>
    <row r="13" spans="1:8" ht="14.5">
      <c r="A13" s="16" t="s">
        <v>83</v>
      </c>
      <c r="B13" s="23">
        <f>IRR(B7:G7)</f>
        <v>0.54380050977120975</v>
      </c>
    </row>
    <row r="14" spans="1:8" ht="14.5">
      <c r="A14" s="16" t="s">
        <v>84</v>
      </c>
      <c r="B14" s="24">
        <f t="array" ref="B14">IF(SUM(B9:G9)=0,"Not within horizon",MATCH(1,B9:G9,0)-2+IF(MATCH(1,B9:G9,0)=1,0,-INDEX(B8:G8,MATCH(1,B9:G9,0)-1)/INDEX(B7:G7,MATCH(1,B9:G9,0))))</f>
        <v>2.099855997399191</v>
      </c>
      <c r="C14" s="20" t="s">
        <v>85</v>
      </c>
    </row>
    <row r="15" spans="1:8" ht="14.5">
      <c r="A15" s="16" t="s">
        <v>86</v>
      </c>
      <c r="B15" s="23">
        <f>H7/-H6</f>
        <v>0.76053465864378644</v>
      </c>
    </row>
    <row r="16" spans="1:8" ht="14.5">
      <c r="A16" s="16" t="s">
        <v>87</v>
      </c>
      <c r="B16" s="25">
        <f>H5/-H6</f>
        <v>1.7605346586437864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H1"/>
    <mergeCell ref="A2:H2"/>
    <mergeCell ref="A11:H11"/>
  </mergeCells>
  <pageMargins left="0.75" right="0.75" top="1" bottom="1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53125" defaultRowHeight="15" customHeight="1"/>
  <cols>
    <col min="1" max="1" width="16" customWidth="1"/>
    <col min="2" max="6" width="14" customWidth="1"/>
    <col min="7" max="26" width="8.7265625" customWidth="1"/>
  </cols>
  <sheetData>
    <row r="1" spans="1:8" ht="25.5" customHeight="1">
      <c r="A1" s="26" t="s">
        <v>74</v>
      </c>
      <c r="B1" s="27"/>
      <c r="C1" s="27"/>
      <c r="D1" s="27"/>
      <c r="E1" s="27"/>
      <c r="F1" s="27"/>
      <c r="G1" s="27"/>
      <c r="H1" s="28"/>
    </row>
    <row r="2" spans="1:8" ht="14.5">
      <c r="A2" s="29" t="s">
        <v>75</v>
      </c>
      <c r="B2" s="30"/>
      <c r="C2" s="30"/>
      <c r="D2" s="30"/>
      <c r="E2" s="30"/>
      <c r="F2" s="30"/>
      <c r="G2" s="30"/>
      <c r="H2" s="30"/>
    </row>
    <row r="4" spans="1:8" ht="14.5">
      <c r="A4" s="16" t="s">
        <v>76</v>
      </c>
      <c r="B4" s="19">
        <v>0.7</v>
      </c>
      <c r="C4" s="19">
        <v>0.8</v>
      </c>
      <c r="D4" s="19">
        <v>0.9</v>
      </c>
      <c r="E4" s="19">
        <v>1</v>
      </c>
      <c r="F4" s="19">
        <v>1.1000000000000001</v>
      </c>
    </row>
    <row r="5" spans="1:8" ht="14.5">
      <c r="A5" s="19">
        <v>0.08</v>
      </c>
      <c r="B5" s="6">
        <f t="array" ref="B5">B$4*NPV($A5,Benefits!$C$9:$G$9)-(NPV($A5,TCO!$C$12:$G$12)+TCO!$B$12)</f>
        <v>154397.12898691953</v>
      </c>
      <c r="C5" s="6">
        <f t="array" ref="C5">C$4*NPV($A5,Benefits!$C$9:$G$9)-(NPV($A5,TCO!$C$12:$G$12)+TCO!$B$12)</f>
        <v>341571.45862146514</v>
      </c>
      <c r="D5" s="6">
        <f t="array" ref="D5">D$4*NPV($A5,Benefits!$C$9:$G$9)-(NPV($A5,TCO!$C$12:$G$12)+TCO!$B$12)</f>
        <v>528745.78825601074</v>
      </c>
      <c r="E5" s="6">
        <f t="array" ref="E5">E$4*NPV($A5,Benefits!$C$9:$G$9)-(NPV($A5,TCO!$C$12:$G$12)+TCO!$B$12)</f>
        <v>715920.11789055611</v>
      </c>
      <c r="F5" s="6">
        <f t="array" ref="F5">F$4*NPV($A5,Benefits!$C$9:$G$9)-(NPV($A5,TCO!$C$12:$G$12)+TCO!$B$12)</f>
        <v>903094.44752510171</v>
      </c>
    </row>
    <row r="6" spans="1:8" ht="14.5">
      <c r="A6" s="19">
        <v>0.1</v>
      </c>
      <c r="B6" s="6">
        <f t="array" ref="B6">B$4*NPV($A6,Benefits!$C$9:$G$9)-(NPV($A6,TCO!$C$12:$G$12)+TCO!$B$12)</f>
        <v>122244.19809565903</v>
      </c>
      <c r="C6" s="6">
        <f t="array" ref="C6">C$4*NPV($A6,Benefits!$C$9:$G$9)-(NPV($A6,TCO!$C$12:$G$12)+TCO!$B$12)</f>
        <v>298808.91126771015</v>
      </c>
      <c r="D6" s="6">
        <f t="array" ref="D6">D$4*NPV($A6,Benefits!$C$9:$G$9)-(NPV($A6,TCO!$C$12:$G$12)+TCO!$B$12)</f>
        <v>475373.62443976104</v>
      </c>
      <c r="E6" s="6">
        <f t="array" ref="E6">E$4*NPV($A6,Benefits!$C$9:$G$9)-(NPV($A6,TCO!$C$12:$G$12)+TCO!$B$12)</f>
        <v>651938.33761181217</v>
      </c>
      <c r="F6" s="6">
        <f t="array" ref="F6">F$4*NPV($A6,Benefits!$C$9:$G$9)-(NPV($A6,TCO!$C$12:$G$12)+TCO!$B$12)</f>
        <v>828503.05078386329</v>
      </c>
    </row>
    <row r="7" spans="1:8" ht="14.5">
      <c r="A7" s="19">
        <v>0.12</v>
      </c>
      <c r="B7" s="6">
        <f t="array" ref="B7">B$4*NPV($A7,Benefits!$C$9:$G$9)-(NPV($A7,TCO!$C$12:$G$12)+TCO!$B$12)</f>
        <v>92826.297965218313</v>
      </c>
      <c r="C7" s="6">
        <f t="array" ref="C7">C$4*NPV($A7,Benefits!$C$9:$G$9)-(NPV($A7,TCO!$C$12:$G$12)+TCO!$B$12)</f>
        <v>259654.25102175307</v>
      </c>
      <c r="D7" s="6">
        <f t="array" ref="D7">D$4*NPV($A7,Benefits!$C$9:$G$9)-(NPV($A7,TCO!$C$12:$G$12)+TCO!$B$12)</f>
        <v>426482.20407828758</v>
      </c>
      <c r="E7" s="6">
        <f t="array" ref="E7">E$4*NPV($A7,Benefits!$C$9:$G$9)-(NPV($A7,TCO!$C$12:$G$12)+TCO!$B$12)</f>
        <v>593310.15713482234</v>
      </c>
      <c r="F7" s="6">
        <f t="array" ref="F7">F$4*NPV($A7,Benefits!$C$9:$G$9)-(NPV($A7,TCO!$C$12:$G$12)+TCO!$B$12)</f>
        <v>760138.11019135709</v>
      </c>
    </row>
    <row r="8" spans="1:8" ht="14.5">
      <c r="A8" s="19">
        <v>0.14000000000000001</v>
      </c>
      <c r="B8" s="6">
        <f t="array" ref="B8">B$4*NPV($A8,Benefits!$C$9:$G$9)-(NPV($A8,TCO!$C$12:$G$12)+TCO!$B$12)</f>
        <v>65859.29888595792</v>
      </c>
      <c r="C8" s="6">
        <f t="array" ref="C8">C$4*NPV($A8,Benefits!$C$9:$G$9)-(NPV($A8,TCO!$C$12:$G$12)+TCO!$B$12)</f>
        <v>223733.86589326349</v>
      </c>
      <c r="D8" s="6">
        <f t="array" ref="D8">D$4*NPV($A8,Benefits!$C$9:$G$9)-(NPV($A8,TCO!$C$12:$G$12)+TCO!$B$12)</f>
        <v>381608.43290056905</v>
      </c>
      <c r="E8" s="6">
        <f t="array" ref="E8">E$4*NPV($A8,Benefits!$C$9:$G$9)-(NPV($A8,TCO!$C$12:$G$12)+TCO!$B$12)</f>
        <v>539482.99990787439</v>
      </c>
      <c r="F8" s="6">
        <f t="array" ref="F8">F$4*NPV($A8,Benefits!$C$9:$G$9)-(NPV($A8,TCO!$C$12:$G$12)+TCO!$B$12)</f>
        <v>697357.56691517995</v>
      </c>
    </row>
    <row r="9" spans="1:8" ht="14.5">
      <c r="A9" s="19">
        <v>0.16</v>
      </c>
      <c r="B9" s="6">
        <f t="array" ref="B9">B$4*NPV($A9,Benefits!$C$9:$G$9)-(NPV($A9,TCO!$C$12:$G$12)+TCO!$B$12)</f>
        <v>41093.476008965517</v>
      </c>
      <c r="C9" s="6">
        <f t="array" ref="C9">C$4*NPV($A9,Benefits!$C$9:$G$9)-(NPV($A9,TCO!$C$12:$G$12)+TCO!$B$12)</f>
        <v>190719.31746991642</v>
      </c>
      <c r="D9" s="6">
        <f t="array" ref="D9">D$4*NPV($A9,Benefits!$C$9:$G$9)-(NPV($A9,TCO!$C$12:$G$12)+TCO!$B$12)</f>
        <v>340345.1589308671</v>
      </c>
      <c r="E9" s="6">
        <f t="array" ref="E9">E$4*NPV($A9,Benefits!$C$9:$G$9)-(NPV($A9,TCO!$C$12:$G$12)+TCO!$B$12)</f>
        <v>489971.00039181777</v>
      </c>
      <c r="F9" s="6">
        <f t="array" ref="F9">F$4*NPV($A9,Benefits!$C$9:$G$9)-(NPV($A9,TCO!$C$12:$G$12)+TCO!$B$12)</f>
        <v>639596.84185276867</v>
      </c>
    </row>
    <row r="11" spans="1:8" ht="14.5">
      <c r="A11" s="20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2:H2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Assumptions</vt:lpstr>
      <vt:lpstr>TCO</vt:lpstr>
      <vt:lpstr>Benefits</vt:lpstr>
      <vt:lpstr>ROI Summary</vt:lpstr>
      <vt:lpstr>Sensitivity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</dc:creator>
  <cp:lastModifiedBy>Vinayaka</cp:lastModifiedBy>
  <dcterms:created xsi:type="dcterms:W3CDTF">2026-07-23T17:58:42Z</dcterms:created>
  <dcterms:modified xsi:type="dcterms:W3CDTF">2026-07-23T17:58:42Z</dcterms:modified>
</cp:coreProperties>
</file>