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nayaka\Downloads\"/>
    </mc:Choice>
  </mc:AlternateContent>
  <bookViews>
    <workbookView xWindow="0" yWindow="0" windowWidth="19200" windowHeight="7900" tabRatio="500" activeTab="5"/>
  </bookViews>
  <sheets>
    <sheet name="README" sheetId="1" r:id="rId1"/>
    <sheet name="Assumptions" sheetId="2" r:id="rId2"/>
    <sheet name="Build" sheetId="3" r:id="rId3"/>
    <sheet name="Buy" sheetId="4" r:id="rId4"/>
    <sheet name="Hybrid" sheetId="5" r:id="rId5"/>
    <sheet name="Comparison" sheetId="6" r:id="rId6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7" i="6" l="1"/>
  <c r="F6" i="6"/>
  <c r="F10" i="5"/>
  <c r="F7" i="6" s="1"/>
  <c r="D10" i="5"/>
  <c r="D7" i="6" s="1"/>
  <c r="C10" i="5"/>
  <c r="C7" i="6" s="1"/>
  <c r="B10" i="5"/>
  <c r="G9" i="5"/>
  <c r="F9" i="5"/>
  <c r="E9" i="5"/>
  <c r="D9" i="5"/>
  <c r="H9" i="5" s="1"/>
  <c r="H8" i="5"/>
  <c r="G8" i="5"/>
  <c r="F8" i="5"/>
  <c r="E8" i="5"/>
  <c r="D8" i="5"/>
  <c r="G7" i="5"/>
  <c r="F7" i="5"/>
  <c r="E7" i="5"/>
  <c r="H7" i="5" s="1"/>
  <c r="D7" i="5"/>
  <c r="G6" i="5"/>
  <c r="F6" i="5"/>
  <c r="E6" i="5"/>
  <c r="D6" i="5"/>
  <c r="H6" i="5" s="1"/>
  <c r="G5" i="5"/>
  <c r="G10" i="5" s="1"/>
  <c r="G7" i="6" s="1"/>
  <c r="F5" i="5"/>
  <c r="E5" i="5"/>
  <c r="E10" i="5" s="1"/>
  <c r="E7" i="6" s="1"/>
  <c r="D5" i="5"/>
  <c r="F10" i="4"/>
  <c r="D10" i="4"/>
  <c r="D6" i="6" s="1"/>
  <c r="D15" i="6" s="1"/>
  <c r="C10" i="4"/>
  <c r="C6" i="6" s="1"/>
  <c r="B10" i="4"/>
  <c r="B6" i="6" s="1"/>
  <c r="G9" i="4"/>
  <c r="F9" i="4"/>
  <c r="E9" i="4"/>
  <c r="D9" i="4"/>
  <c r="H9" i="4" s="1"/>
  <c r="H8" i="4"/>
  <c r="G8" i="4"/>
  <c r="F8" i="4"/>
  <c r="E8" i="4"/>
  <c r="D8" i="4"/>
  <c r="G7" i="4"/>
  <c r="F7" i="4"/>
  <c r="E7" i="4"/>
  <c r="H7" i="4" s="1"/>
  <c r="D7" i="4"/>
  <c r="G6" i="4"/>
  <c r="F6" i="4"/>
  <c r="E6" i="4"/>
  <c r="D6" i="4"/>
  <c r="H6" i="4" s="1"/>
  <c r="G5" i="4"/>
  <c r="G10" i="4" s="1"/>
  <c r="G6" i="6" s="1"/>
  <c r="F5" i="4"/>
  <c r="E5" i="4"/>
  <c r="E10" i="4" s="1"/>
  <c r="E6" i="6" s="1"/>
  <c r="D5" i="4"/>
  <c r="F10" i="3"/>
  <c r="F5" i="6" s="1"/>
  <c r="D10" i="3"/>
  <c r="D5" i="6" s="1"/>
  <c r="C10" i="3"/>
  <c r="C5" i="6" s="1"/>
  <c r="B10" i="3"/>
  <c r="B5" i="6" s="1"/>
  <c r="B11" i="6" s="1"/>
  <c r="G9" i="3"/>
  <c r="F9" i="3"/>
  <c r="E9" i="3"/>
  <c r="D9" i="3"/>
  <c r="H9" i="3" s="1"/>
  <c r="H8" i="3"/>
  <c r="G8" i="3"/>
  <c r="F8" i="3"/>
  <c r="E8" i="3"/>
  <c r="D8" i="3"/>
  <c r="G7" i="3"/>
  <c r="F7" i="3"/>
  <c r="E7" i="3"/>
  <c r="H7" i="3" s="1"/>
  <c r="D7" i="3"/>
  <c r="G6" i="3"/>
  <c r="F6" i="3"/>
  <c r="E6" i="3"/>
  <c r="D6" i="3"/>
  <c r="H6" i="3" s="1"/>
  <c r="G5" i="3"/>
  <c r="G10" i="3" s="1"/>
  <c r="G5" i="6" s="1"/>
  <c r="F5" i="3"/>
  <c r="E5" i="3"/>
  <c r="E10" i="3" s="1"/>
  <c r="E5" i="6" s="1"/>
  <c r="D5" i="3"/>
  <c r="B15" i="6" l="1"/>
  <c r="C11" i="6"/>
  <c r="B12" i="6" s="1"/>
  <c r="C15" i="6"/>
  <c r="E15" i="6"/>
  <c r="F15" i="6"/>
  <c r="G15" i="6"/>
  <c r="D11" i="6"/>
  <c r="H5" i="3"/>
  <c r="H10" i="3" s="1"/>
  <c r="H5" i="6" s="1"/>
  <c r="H5" i="4"/>
  <c r="H10" i="4" s="1"/>
  <c r="H6" i="6" s="1"/>
  <c r="H5" i="5"/>
  <c r="H10" i="5" s="1"/>
  <c r="H7" i="6" s="1"/>
  <c r="B19" i="6" l="1"/>
  <c r="B16" i="6"/>
  <c r="B17" i="6" l="1"/>
  <c r="C16" i="6"/>
  <c r="D16" i="6" l="1"/>
  <c r="C17" i="6"/>
  <c r="E16" i="6" l="1"/>
  <c r="D17" i="6"/>
  <c r="F16" i="6" l="1"/>
  <c r="E17" i="6"/>
  <c r="G16" i="6" l="1"/>
  <c r="G17" i="6" s="1"/>
  <c r="F17" i="6"/>
  <c r="B20" i="6" l="1"/>
</calcChain>
</file>

<file path=xl/sharedStrings.xml><?xml version="1.0" encoding="utf-8"?>
<sst xmlns="http://schemas.openxmlformats.org/spreadsheetml/2006/main" count="87" uniqueCount="58">
  <si>
    <t>Value-engineering model · same-benefit options compared on discounted cost · bhattyash.com</t>
  </si>
  <si>
    <t>How to use</t>
  </si>
  <si>
    <t>1. Enter costs for each option on its tab (blue cells). All options are assumed to deliver equivalent benefit; the comparison is on discounted cost.</t>
  </si>
  <si>
    <t>2. The Comparison tab computes 5-year nominal TCO, present value of cost, the cheapest option, and the Build-vs-Buy incremental IRR and crossover year.</t>
  </si>
  <si>
    <t>4. Color code: blue = input · black = formula · green = cross-sheet link.</t>
  </si>
  <si>
    <t>Assumption source: user-supplied illustrative values (Yash Bhatt), July 2026. Not client data.</t>
  </si>
  <si>
    <t>Global Assumptions</t>
  </si>
  <si>
    <t>General</t>
  </si>
  <si>
    <t>Discount rate (WACC)</t>
  </si>
  <si>
    <t>Year 0 = setup · Years 1–5 escalated</t>
  </si>
  <si>
    <t>Cost line</t>
  </si>
  <si>
    <t>Year 0</t>
  </si>
  <si>
    <t>Year 1</t>
  </si>
  <si>
    <t>Year 2</t>
  </si>
  <si>
    <t>Year 3</t>
  </si>
  <si>
    <t>Year 4</t>
  </si>
  <si>
    <t>Year 5</t>
  </si>
  <si>
    <t>Total</t>
  </si>
  <si>
    <t>Initial build (design, engineering, data work)</t>
  </si>
  <si>
    <t>Ongoing engineering (run &amp; enhance, FTE-loaded)</t>
  </si>
  <si>
    <t>Infrastructure &amp; tooling</t>
  </si>
  <si>
    <t>Model / API consumption</t>
  </si>
  <si>
    <t>Security review &amp; compliance upkeep</t>
  </si>
  <si>
    <t>Total cost</t>
  </si>
  <si>
    <t>Implementation &amp; integration (one-time)</t>
  </si>
  <si>
    <t>Platform license / subscription</t>
  </si>
  <si>
    <t>Internal admin &amp; vendor management (0.5 FTE)</t>
  </si>
  <si>
    <t>Integration upkeep &amp; customization</t>
  </si>
  <si>
    <t>Training &amp; enablement</t>
  </si>
  <si>
    <t>Platform license (core capability bought)</t>
  </si>
  <si>
    <t>Ongoing engineering (1 FTE)</t>
  </si>
  <si>
    <t>Infrastructure &amp; consumption</t>
  </si>
  <si>
    <t>Training &amp; vendor management</t>
  </si>
  <si>
    <t>All options assumed benefit-equivalent; lower discounted cost wins</t>
  </si>
  <si>
    <t>5-yr Total</t>
  </si>
  <si>
    <t>Build</t>
  </si>
  <si>
    <t>Buy</t>
  </si>
  <si>
    <t>Hybrid</t>
  </si>
  <si>
    <t>Decision metrics</t>
  </si>
  <si>
    <t>Present value of cost</t>
  </si>
  <si>
    <t>Cheapest option (PV)</t>
  </si>
  <si>
    <t>Incremental cash flow (Buy cost − Build cost)</t>
  </si>
  <si>
    <t>Cumulative incremental</t>
  </si>
  <si>
    <t>Crossover flag</t>
  </si>
  <si>
    <t>Incremental IRR of building</t>
  </si>
  <si>
    <t>Return earned by paying Build's upfront cost to avoid Buy's recurring cost</t>
  </si>
  <si>
    <t>Crossover year (Build overtakes Buy)</t>
  </si>
  <si>
    <t>Rule of thumb: Build only if incremental IRR clears WACC with margin AND you retain the team to run it.</t>
  </si>
  <si>
    <t>Build vs Buy vs Hybrid - TCO &amp; NPV Comparator</t>
  </si>
  <si>
    <t>3. Defaults are illustrative - replace with engagement inputs. Yellow cells are the levers that usually decide the answer.</t>
  </si>
  <si>
    <t>Cost escalation - internal (salary/infra)</t>
  </si>
  <si>
    <t>Cost escalation - vendor (license uplift)</t>
  </si>
  <si>
    <t>Option - Build</t>
  </si>
  <si>
    <t>Option - Buy</t>
  </si>
  <si>
    <t>Option - Hybrid</t>
  </si>
  <si>
    <t>Glue build - integration &amp; differentiating layer</t>
  </si>
  <si>
    <t>Comparison - TCO · PV of Cost · Incremental IRR</t>
  </si>
  <si>
    <t>Incremental analysis - Build vs Buy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</si>
</sst>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\$#,##0;&quot;($&quot;#,##0\);\-"/>
  </numFmts>
  <fonts count="11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i/>
      <sz val="9"/>
      <color rgb="FF475569"/>
      <name val="Arial"/>
      <charset val="1"/>
    </font>
    <font>
      <b/>
      <sz val="11"/>
      <color rgb="FF0B1120"/>
      <name val="Arial"/>
      <charset val="1"/>
    </font>
    <font>
      <sz val="10"/>
      <name val="Arial"/>
      <charset val="1"/>
    </font>
    <font>
      <sz val="9"/>
      <color rgb="FF475569"/>
      <name val="Arial"/>
      <charset val="1"/>
    </font>
    <font>
      <sz val="10"/>
      <color rgb="FF0000FF"/>
      <name val="Arial"/>
      <charset val="1"/>
    </font>
    <font>
      <b/>
      <sz val="10"/>
      <color rgb="FFFFFFFF"/>
      <name val="Arial"/>
      <charset val="1"/>
    </font>
    <font>
      <b/>
      <sz val="10"/>
      <name val="Arial"/>
      <charset val="1"/>
    </font>
    <font>
      <sz val="10"/>
      <color rgb="FF008000"/>
      <name val="Arial"/>
      <charset val="1"/>
    </font>
    <font>
      <sz val="8"/>
      <color rgb="FF94A3B8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0B1120"/>
        <bgColor rgb="FF000000"/>
      </patternFill>
    </fill>
    <fill>
      <patternFill patternType="solid">
        <fgColor rgb="FFDBEAFE"/>
        <bgColor rgb="FFF1F5F9"/>
      </patternFill>
    </fill>
    <fill>
      <patternFill patternType="solid">
        <fgColor rgb="FFFFFF00"/>
        <bgColor rgb="FFFFFF00"/>
      </patternFill>
    </fill>
    <fill>
      <patternFill patternType="solid">
        <fgColor rgb="FFF1F5F9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/>
      <top style="double">
        <color rgb="FF0B112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3" borderId="0" xfId="0" applyFont="1" applyFill="1" applyBorder="1"/>
    <xf numFmtId="0" fontId="2" fillId="0" borderId="0" xfId="0" applyFont="1" applyBorder="1"/>
    <xf numFmtId="0" fontId="1" fillId="2" borderId="0" xfId="0" applyFont="1" applyFill="1" applyBorder="1"/>
    <xf numFmtId="0" fontId="4" fillId="0" borderId="0" xfId="0" applyFont="1"/>
    <xf numFmtId="0" fontId="5" fillId="0" borderId="0" xfId="0" applyFont="1"/>
    <xf numFmtId="164" fontId="6" fillId="4" borderId="0" xfId="0" applyNumberFormat="1" applyFont="1" applyFill="1"/>
    <xf numFmtId="164" fontId="6" fillId="0" borderId="0" xfId="0" applyNumberFormat="1" applyFont="1"/>
    <xf numFmtId="0" fontId="7" fillId="2" borderId="0" xfId="0" applyFont="1" applyFill="1"/>
    <xf numFmtId="165" fontId="6" fillId="4" borderId="0" xfId="0" applyNumberFormat="1" applyFont="1" applyFill="1"/>
    <xf numFmtId="165" fontId="6" fillId="0" borderId="0" xfId="0" applyNumberFormat="1" applyFont="1"/>
    <xf numFmtId="165" fontId="4" fillId="0" borderId="0" xfId="0" applyNumberFormat="1" applyFont="1"/>
    <xf numFmtId="165" fontId="4" fillId="0" borderId="1" xfId="0" applyNumberFormat="1" applyFont="1" applyBorder="1"/>
    <xf numFmtId="0" fontId="8" fillId="0" borderId="0" xfId="0" applyFont="1"/>
    <xf numFmtId="165" fontId="8" fillId="0" borderId="2" xfId="0" applyNumberFormat="1" applyFont="1" applyBorder="1"/>
    <xf numFmtId="165" fontId="9" fillId="0" borderId="0" xfId="0" applyNumberFormat="1" applyFont="1"/>
    <xf numFmtId="165" fontId="4" fillId="5" borderId="0" xfId="0" applyNumberFormat="1" applyFont="1" applyFill="1"/>
    <xf numFmtId="0" fontId="4" fillId="5" borderId="0" xfId="0" applyFont="1" applyFill="1"/>
    <xf numFmtId="0" fontId="10" fillId="0" borderId="0" xfId="0" applyFont="1"/>
    <xf numFmtId="164" fontId="4" fillId="5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1F5F9"/>
      <rgbColor rgb="FFDBEAFE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75569"/>
      <rgbColor rgb="FF94A3B8"/>
      <rgbColor rgb="FF003366"/>
      <rgbColor rgb="FF339966"/>
      <rgbColor rgb="FF0B112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activeCell="A10" sqref="A10"/>
    </sheetView>
  </sheetViews>
  <sheetFormatPr defaultColWidth="8.6328125" defaultRowHeight="14.5" x14ac:dyDescent="0.35"/>
  <cols>
    <col min="1" max="1" width="120" customWidth="1"/>
  </cols>
  <sheetData>
    <row r="1" spans="1:6" ht="25.5" customHeight="1" x14ac:dyDescent="0.4">
      <c r="A1" s="3" t="s">
        <v>48</v>
      </c>
      <c r="B1" s="3"/>
      <c r="C1" s="3"/>
      <c r="D1" s="3"/>
      <c r="E1" s="3"/>
      <c r="F1" s="3"/>
    </row>
    <row r="2" spans="1:6" x14ac:dyDescent="0.35">
      <c r="A2" s="2" t="s">
        <v>0</v>
      </c>
      <c r="B2" s="2"/>
      <c r="C2" s="2"/>
      <c r="D2" s="2"/>
      <c r="E2" s="2"/>
      <c r="F2" s="2"/>
    </row>
    <row r="4" spans="1:6" x14ac:dyDescent="0.35">
      <c r="A4" s="1" t="s">
        <v>1</v>
      </c>
      <c r="B4" s="1"/>
      <c r="C4" s="1"/>
      <c r="D4" s="1"/>
      <c r="E4" s="1"/>
      <c r="F4" s="1"/>
    </row>
    <row r="5" spans="1:6" x14ac:dyDescent="0.35">
      <c r="A5" s="4" t="s">
        <v>2</v>
      </c>
    </row>
    <row r="6" spans="1:6" x14ac:dyDescent="0.35">
      <c r="A6" s="4" t="s">
        <v>3</v>
      </c>
    </row>
    <row r="7" spans="1:6" x14ac:dyDescent="0.35">
      <c r="A7" s="4" t="s">
        <v>49</v>
      </c>
    </row>
    <row r="8" spans="1:6" x14ac:dyDescent="0.35">
      <c r="A8" s="4" t="s">
        <v>4</v>
      </c>
    </row>
    <row r="10" spans="1:6" x14ac:dyDescent="0.35">
      <c r="A10" s="5" t="s">
        <v>5</v>
      </c>
    </row>
  </sheetData>
  <mergeCells count="3">
    <mergeCell ref="A1:F1"/>
    <mergeCell ref="A2:F2"/>
    <mergeCell ref="A4:F4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zoomScaleNormal="100" workbookViewId="0">
      <selection activeCell="A13" sqref="A13"/>
    </sheetView>
  </sheetViews>
  <sheetFormatPr defaultColWidth="8.6328125" defaultRowHeight="14.5" x14ac:dyDescent="0.35"/>
  <cols>
    <col min="1" max="1" width="44" customWidth="1"/>
    <col min="2" max="2" width="14" customWidth="1"/>
  </cols>
  <sheetData>
    <row r="1" spans="1:4" ht="25.5" customHeight="1" x14ac:dyDescent="0.4">
      <c r="A1" s="3" t="s">
        <v>6</v>
      </c>
      <c r="B1" s="3"/>
      <c r="C1" s="3"/>
      <c r="D1" s="3"/>
    </row>
    <row r="2" spans="1:4" x14ac:dyDescent="0.35">
      <c r="A2" s="2"/>
      <c r="B2" s="2"/>
      <c r="C2" s="2"/>
      <c r="D2" s="2"/>
    </row>
    <row r="4" spans="1:4" x14ac:dyDescent="0.35">
      <c r="A4" s="1" t="s">
        <v>7</v>
      </c>
      <c r="B4" s="1"/>
      <c r="C4" s="1"/>
      <c r="D4" s="1"/>
    </row>
    <row r="5" spans="1:4" x14ac:dyDescent="0.35">
      <c r="A5" s="4" t="s">
        <v>8</v>
      </c>
      <c r="B5" s="6">
        <v>0.12</v>
      </c>
    </row>
    <row r="6" spans="1:4" x14ac:dyDescent="0.35">
      <c r="A6" s="4" t="s">
        <v>50</v>
      </c>
      <c r="B6" s="7">
        <v>0.05</v>
      </c>
    </row>
    <row r="7" spans="1:4" x14ac:dyDescent="0.35">
      <c r="A7" s="4" t="s">
        <v>51</v>
      </c>
      <c r="B7" s="6">
        <v>0.08</v>
      </c>
    </row>
  </sheetData>
  <mergeCells count="3">
    <mergeCell ref="A1:D1"/>
    <mergeCell ref="A2:D2"/>
    <mergeCell ref="A4:D4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sqref="A1:H1"/>
    </sheetView>
  </sheetViews>
  <sheetFormatPr defaultColWidth="8.6328125" defaultRowHeight="14.5" x14ac:dyDescent="0.35"/>
  <cols>
    <col min="1" max="1" width="42" customWidth="1"/>
    <col min="2" max="8" width="13" customWidth="1"/>
  </cols>
  <sheetData>
    <row r="1" spans="1:8" ht="25.5" customHeight="1" x14ac:dyDescent="0.4">
      <c r="A1" s="3" t="s">
        <v>52</v>
      </c>
      <c r="B1" s="3"/>
      <c r="C1" s="3"/>
      <c r="D1" s="3"/>
      <c r="E1" s="3"/>
      <c r="F1" s="3"/>
      <c r="G1" s="3"/>
      <c r="H1" s="3"/>
    </row>
    <row r="2" spans="1:8" x14ac:dyDescent="0.35">
      <c r="A2" s="2" t="s">
        <v>9</v>
      </c>
      <c r="B2" s="2"/>
      <c r="C2" s="2"/>
      <c r="D2" s="2"/>
      <c r="E2" s="2"/>
      <c r="F2" s="2"/>
      <c r="G2" s="2"/>
      <c r="H2" s="2"/>
    </row>
    <row r="4" spans="1:8" x14ac:dyDescent="0.35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</row>
    <row r="5" spans="1:8" x14ac:dyDescent="0.35">
      <c r="A5" s="4" t="s">
        <v>18</v>
      </c>
      <c r="B5" s="9">
        <v>400000</v>
      </c>
      <c r="C5" s="10">
        <v>0</v>
      </c>
      <c r="D5" s="11">
        <f>$C5*(1+Assumptions!$B$6)^1</f>
        <v>0</v>
      </c>
      <c r="E5" s="11">
        <f>$C5*(1+Assumptions!$B$6)^2</f>
        <v>0</v>
      </c>
      <c r="F5" s="11">
        <f>$C5*(1+Assumptions!$B$6)^3</f>
        <v>0</v>
      </c>
      <c r="G5" s="11">
        <f>$C5*(1+Assumptions!$B$6)^4</f>
        <v>0</v>
      </c>
      <c r="H5" s="12">
        <f>SUM(B5:G5)</f>
        <v>400000</v>
      </c>
    </row>
    <row r="6" spans="1:8" x14ac:dyDescent="0.35">
      <c r="A6" s="4" t="s">
        <v>19</v>
      </c>
      <c r="B6" s="10">
        <v>0</v>
      </c>
      <c r="C6" s="10">
        <v>280000</v>
      </c>
      <c r="D6" s="11">
        <f>$C6*(1+Assumptions!$B$6)^1</f>
        <v>294000</v>
      </c>
      <c r="E6" s="11">
        <f>$C6*(1+Assumptions!$B$6)^2</f>
        <v>308700</v>
      </c>
      <c r="F6" s="11">
        <f>$C6*(1+Assumptions!$B$6)^3</f>
        <v>324135.00000000006</v>
      </c>
      <c r="G6" s="11">
        <f>$C6*(1+Assumptions!$B$6)^4</f>
        <v>340341.75</v>
      </c>
      <c r="H6" s="12">
        <f>SUM(B6:G6)</f>
        <v>1547176.75</v>
      </c>
    </row>
    <row r="7" spans="1:8" x14ac:dyDescent="0.35">
      <c r="A7" s="4" t="s">
        <v>20</v>
      </c>
      <c r="B7" s="9">
        <v>20000</v>
      </c>
      <c r="C7" s="10">
        <v>60000</v>
      </c>
      <c r="D7" s="11">
        <f>$C7*(1+Assumptions!$B$6)^1</f>
        <v>63000</v>
      </c>
      <c r="E7" s="11">
        <f>$C7*(1+Assumptions!$B$6)^2</f>
        <v>66150</v>
      </c>
      <c r="F7" s="11">
        <f>$C7*(1+Assumptions!$B$6)^3</f>
        <v>69457.500000000015</v>
      </c>
      <c r="G7" s="11">
        <f>$C7*(1+Assumptions!$B$6)^4</f>
        <v>72930.375</v>
      </c>
      <c r="H7" s="12">
        <f>SUM(B7:G7)</f>
        <v>351537.875</v>
      </c>
    </row>
    <row r="8" spans="1:8" x14ac:dyDescent="0.35">
      <c r="A8" s="4" t="s">
        <v>21</v>
      </c>
      <c r="B8" s="10">
        <v>0</v>
      </c>
      <c r="C8" s="10">
        <v>45000</v>
      </c>
      <c r="D8" s="11">
        <f>$C8*(1+Assumptions!$B$7)^1</f>
        <v>48600</v>
      </c>
      <c r="E8" s="11">
        <f>$C8*(1+Assumptions!$B$7)^2</f>
        <v>52488.000000000007</v>
      </c>
      <c r="F8" s="11">
        <f>$C8*(1+Assumptions!$B$7)^3</f>
        <v>56687.040000000008</v>
      </c>
      <c r="G8" s="11">
        <f>$C8*(1+Assumptions!$B$7)^4</f>
        <v>61222.003200000014</v>
      </c>
      <c r="H8" s="12">
        <f>SUM(B8:G8)</f>
        <v>263997.04320000001</v>
      </c>
    </row>
    <row r="9" spans="1:8" x14ac:dyDescent="0.35">
      <c r="A9" s="4" t="s">
        <v>22</v>
      </c>
      <c r="B9" s="9">
        <v>15000</v>
      </c>
      <c r="C9" s="10">
        <v>20000</v>
      </c>
      <c r="D9" s="11">
        <f>$C9*(1+Assumptions!$B$6)^1</f>
        <v>21000</v>
      </c>
      <c r="E9" s="11">
        <f>$C9*(1+Assumptions!$B$6)^2</f>
        <v>22050</v>
      </c>
      <c r="F9" s="11">
        <f>$C9*(1+Assumptions!$B$6)^3</f>
        <v>23152.500000000004</v>
      </c>
      <c r="G9" s="11">
        <f>$C9*(1+Assumptions!$B$6)^4</f>
        <v>24310.125</v>
      </c>
      <c r="H9" s="12">
        <f>SUM(B9:G9)</f>
        <v>125512.625</v>
      </c>
    </row>
    <row r="10" spans="1:8" x14ac:dyDescent="0.35">
      <c r="A10" s="13" t="s">
        <v>23</v>
      </c>
      <c r="B10" s="14">
        <f t="shared" ref="B10:H10" si="0">SUM(B5:B9)</f>
        <v>435000</v>
      </c>
      <c r="C10" s="14">
        <f t="shared" si="0"/>
        <v>405000</v>
      </c>
      <c r="D10" s="14">
        <f t="shared" si="0"/>
        <v>426600</v>
      </c>
      <c r="E10" s="14">
        <f t="shared" si="0"/>
        <v>449388</v>
      </c>
      <c r="F10" s="14">
        <f t="shared" si="0"/>
        <v>473432.04000000004</v>
      </c>
      <c r="G10" s="14">
        <f t="shared" si="0"/>
        <v>498804.25320000004</v>
      </c>
      <c r="H10" s="14">
        <f t="shared" si="0"/>
        <v>2688224.2932000002</v>
      </c>
    </row>
  </sheetData>
  <mergeCells count="2">
    <mergeCell ref="A1:H1"/>
    <mergeCell ref="A2:H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E6" sqref="E6"/>
    </sheetView>
  </sheetViews>
  <sheetFormatPr defaultColWidth="8.6328125" defaultRowHeight="14.5" x14ac:dyDescent="0.35"/>
  <cols>
    <col min="1" max="1" width="42" customWidth="1"/>
    <col min="2" max="8" width="13" customWidth="1"/>
  </cols>
  <sheetData>
    <row r="1" spans="1:8" ht="25.5" customHeight="1" x14ac:dyDescent="0.4">
      <c r="A1" s="3" t="s">
        <v>53</v>
      </c>
      <c r="B1" s="3"/>
      <c r="C1" s="3"/>
      <c r="D1" s="3"/>
      <c r="E1" s="3"/>
      <c r="F1" s="3"/>
      <c r="G1" s="3"/>
      <c r="H1" s="3"/>
    </row>
    <row r="2" spans="1:8" x14ac:dyDescent="0.35">
      <c r="A2" s="2" t="s">
        <v>9</v>
      </c>
      <c r="B2" s="2"/>
      <c r="C2" s="2"/>
      <c r="D2" s="2"/>
      <c r="E2" s="2"/>
      <c r="F2" s="2"/>
      <c r="G2" s="2"/>
      <c r="H2" s="2"/>
    </row>
    <row r="4" spans="1:8" x14ac:dyDescent="0.35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</row>
    <row r="5" spans="1:8" x14ac:dyDescent="0.35">
      <c r="A5" s="4" t="s">
        <v>24</v>
      </c>
      <c r="B5" s="9">
        <v>120000</v>
      </c>
      <c r="C5" s="10">
        <v>0</v>
      </c>
      <c r="D5" s="11">
        <f>$C5*(1+Assumptions!$B$6)^1</f>
        <v>0</v>
      </c>
      <c r="E5" s="11">
        <f>$C5*(1+Assumptions!$B$6)^2</f>
        <v>0</v>
      </c>
      <c r="F5" s="11">
        <f>$C5*(1+Assumptions!$B$6)^3</f>
        <v>0</v>
      </c>
      <c r="G5" s="11">
        <f>$C5*(1+Assumptions!$B$6)^4</f>
        <v>0</v>
      </c>
      <c r="H5" s="12">
        <f>SUM(B5:G5)</f>
        <v>120000</v>
      </c>
    </row>
    <row r="6" spans="1:8" x14ac:dyDescent="0.35">
      <c r="A6" s="4" t="s">
        <v>25</v>
      </c>
      <c r="B6" s="10">
        <v>0</v>
      </c>
      <c r="C6" s="10">
        <v>180000</v>
      </c>
      <c r="D6" s="11">
        <f>$C6*(1+Assumptions!$B$7)^1</f>
        <v>194400</v>
      </c>
      <c r="E6" s="11">
        <f>$C6*(1+Assumptions!$B$7)^2</f>
        <v>209952.00000000003</v>
      </c>
      <c r="F6" s="11">
        <f>$C6*(1+Assumptions!$B$7)^3</f>
        <v>226748.16000000003</v>
      </c>
      <c r="G6" s="11">
        <f>$C6*(1+Assumptions!$B$7)^4</f>
        <v>244888.01280000005</v>
      </c>
      <c r="H6" s="12">
        <f>SUM(B6:G6)</f>
        <v>1055988.1728000001</v>
      </c>
    </row>
    <row r="7" spans="1:8" x14ac:dyDescent="0.35">
      <c r="A7" s="4" t="s">
        <v>26</v>
      </c>
      <c r="B7" s="10">
        <v>0</v>
      </c>
      <c r="C7" s="10">
        <v>70000</v>
      </c>
      <c r="D7" s="11">
        <f>$C7*(1+Assumptions!$B$6)^1</f>
        <v>73500</v>
      </c>
      <c r="E7" s="11">
        <f>$C7*(1+Assumptions!$B$6)^2</f>
        <v>77175</v>
      </c>
      <c r="F7" s="11">
        <f>$C7*(1+Assumptions!$B$6)^3</f>
        <v>81033.750000000015</v>
      </c>
      <c r="G7" s="11">
        <f>$C7*(1+Assumptions!$B$6)^4</f>
        <v>85085.4375</v>
      </c>
      <c r="H7" s="12">
        <f>SUM(B7:G7)</f>
        <v>386794.1875</v>
      </c>
    </row>
    <row r="8" spans="1:8" x14ac:dyDescent="0.35">
      <c r="A8" s="4" t="s">
        <v>27</v>
      </c>
      <c r="B8" s="10">
        <v>0</v>
      </c>
      <c r="C8" s="10">
        <v>25000</v>
      </c>
      <c r="D8" s="11">
        <f>$C8*(1+Assumptions!$B$6)^1</f>
        <v>26250</v>
      </c>
      <c r="E8" s="11">
        <f>$C8*(1+Assumptions!$B$6)^2</f>
        <v>27562.5</v>
      </c>
      <c r="F8" s="11">
        <f>$C8*(1+Assumptions!$B$6)^3</f>
        <v>28940.625000000004</v>
      </c>
      <c r="G8" s="11">
        <f>$C8*(1+Assumptions!$B$6)^4</f>
        <v>30387.65625</v>
      </c>
      <c r="H8" s="12">
        <f>SUM(B8:G8)</f>
        <v>138140.78125</v>
      </c>
    </row>
    <row r="9" spans="1:8" x14ac:dyDescent="0.35">
      <c r="A9" s="4" t="s">
        <v>28</v>
      </c>
      <c r="B9" s="9">
        <v>20000</v>
      </c>
      <c r="C9" s="10">
        <v>10000</v>
      </c>
      <c r="D9" s="11">
        <f>$C9*(1+Assumptions!$B$6)^1</f>
        <v>10500</v>
      </c>
      <c r="E9" s="11">
        <f>$C9*(1+Assumptions!$B$6)^2</f>
        <v>11025</v>
      </c>
      <c r="F9" s="11">
        <f>$C9*(1+Assumptions!$B$6)^3</f>
        <v>11576.250000000002</v>
      </c>
      <c r="G9" s="11">
        <f>$C9*(1+Assumptions!$B$6)^4</f>
        <v>12155.0625</v>
      </c>
      <c r="H9" s="12">
        <f>SUM(B9:G9)</f>
        <v>75256.3125</v>
      </c>
    </row>
    <row r="10" spans="1:8" x14ac:dyDescent="0.35">
      <c r="A10" s="13" t="s">
        <v>23</v>
      </c>
      <c r="B10" s="14">
        <f t="shared" ref="B10:H10" si="0">SUM(B5:B9)</f>
        <v>140000</v>
      </c>
      <c r="C10" s="14">
        <f t="shared" si="0"/>
        <v>285000</v>
      </c>
      <c r="D10" s="14">
        <f t="shared" si="0"/>
        <v>304650</v>
      </c>
      <c r="E10" s="14">
        <f t="shared" si="0"/>
        <v>325714.5</v>
      </c>
      <c r="F10" s="14">
        <f t="shared" si="0"/>
        <v>348298.78500000003</v>
      </c>
      <c r="G10" s="14">
        <f t="shared" si="0"/>
        <v>372516.16905000003</v>
      </c>
      <c r="H10" s="14">
        <f t="shared" si="0"/>
        <v>1776179.4540500001</v>
      </c>
    </row>
  </sheetData>
  <mergeCells count="2">
    <mergeCell ref="A1:H1"/>
    <mergeCell ref="A2:H2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sqref="A1:H1"/>
    </sheetView>
  </sheetViews>
  <sheetFormatPr defaultColWidth="8.6328125" defaultRowHeight="14.5" x14ac:dyDescent="0.35"/>
  <cols>
    <col min="1" max="1" width="42" customWidth="1"/>
    <col min="2" max="8" width="13" customWidth="1"/>
  </cols>
  <sheetData>
    <row r="1" spans="1:8" ht="25.5" customHeight="1" x14ac:dyDescent="0.4">
      <c r="A1" s="3" t="s">
        <v>54</v>
      </c>
      <c r="B1" s="3"/>
      <c r="C1" s="3"/>
      <c r="D1" s="3"/>
      <c r="E1" s="3"/>
      <c r="F1" s="3"/>
      <c r="G1" s="3"/>
      <c r="H1" s="3"/>
    </row>
    <row r="2" spans="1:8" x14ac:dyDescent="0.35">
      <c r="A2" s="2" t="s">
        <v>9</v>
      </c>
      <c r="B2" s="2"/>
      <c r="C2" s="2"/>
      <c r="D2" s="2"/>
      <c r="E2" s="2"/>
      <c r="F2" s="2"/>
      <c r="G2" s="2"/>
      <c r="H2" s="2"/>
    </row>
    <row r="4" spans="1:8" x14ac:dyDescent="0.35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</row>
    <row r="5" spans="1:8" x14ac:dyDescent="0.35">
      <c r="A5" s="4" t="s">
        <v>29</v>
      </c>
      <c r="B5" s="10">
        <v>0</v>
      </c>
      <c r="C5" s="10">
        <v>100000</v>
      </c>
      <c r="D5" s="11">
        <f>$C5*(1+Assumptions!$B$7)^1</f>
        <v>108000</v>
      </c>
      <c r="E5" s="11">
        <f>$C5*(1+Assumptions!$B$7)^2</f>
        <v>116640.00000000001</v>
      </c>
      <c r="F5" s="11">
        <f>$C5*(1+Assumptions!$B$7)^3</f>
        <v>125971.20000000001</v>
      </c>
      <c r="G5" s="11">
        <f>$C5*(1+Assumptions!$B$7)^4</f>
        <v>136048.89600000004</v>
      </c>
      <c r="H5" s="12">
        <f>SUM(B5:G5)</f>
        <v>586660.09600000002</v>
      </c>
    </row>
    <row r="6" spans="1:8" x14ac:dyDescent="0.35">
      <c r="A6" s="4" t="s">
        <v>55</v>
      </c>
      <c r="B6" s="9">
        <v>180000</v>
      </c>
      <c r="C6" s="10">
        <v>0</v>
      </c>
      <c r="D6" s="11">
        <f>$C6*(1+Assumptions!$B$6)^1</f>
        <v>0</v>
      </c>
      <c r="E6" s="11">
        <f>$C6*(1+Assumptions!$B$6)^2</f>
        <v>0</v>
      </c>
      <c r="F6" s="11">
        <f>$C6*(1+Assumptions!$B$6)^3</f>
        <v>0</v>
      </c>
      <c r="G6" s="11">
        <f>$C6*(1+Assumptions!$B$6)^4</f>
        <v>0</v>
      </c>
      <c r="H6" s="12">
        <f>SUM(B6:G6)</f>
        <v>180000</v>
      </c>
    </row>
    <row r="7" spans="1:8" x14ac:dyDescent="0.35">
      <c r="A7" s="4" t="s">
        <v>30</v>
      </c>
      <c r="B7" s="10">
        <v>0</v>
      </c>
      <c r="C7" s="10">
        <v>140000</v>
      </c>
      <c r="D7" s="11">
        <f>$C7*(1+Assumptions!$B$6)^1</f>
        <v>147000</v>
      </c>
      <c r="E7" s="11">
        <f>$C7*(1+Assumptions!$B$6)^2</f>
        <v>154350</v>
      </c>
      <c r="F7" s="11">
        <f>$C7*(1+Assumptions!$B$6)^3</f>
        <v>162067.50000000003</v>
      </c>
      <c r="G7" s="11">
        <f>$C7*(1+Assumptions!$B$6)^4</f>
        <v>170170.875</v>
      </c>
      <c r="H7" s="12">
        <f>SUM(B7:G7)</f>
        <v>773588.375</v>
      </c>
    </row>
    <row r="8" spans="1:8" x14ac:dyDescent="0.35">
      <c r="A8" s="4" t="s">
        <v>31</v>
      </c>
      <c r="B8" s="9">
        <v>10000</v>
      </c>
      <c r="C8" s="10">
        <v>40000</v>
      </c>
      <c r="D8" s="11">
        <f>$C8*(1+Assumptions!$B$7)^1</f>
        <v>43200</v>
      </c>
      <c r="E8" s="11">
        <f>$C8*(1+Assumptions!$B$7)^2</f>
        <v>46656.000000000007</v>
      </c>
      <c r="F8" s="11">
        <f>$C8*(1+Assumptions!$B$7)^3</f>
        <v>50388.480000000003</v>
      </c>
      <c r="G8" s="11">
        <f>$C8*(1+Assumptions!$B$7)^4</f>
        <v>54419.558400000009</v>
      </c>
      <c r="H8" s="12">
        <f>SUM(B8:G8)</f>
        <v>244664.03840000002</v>
      </c>
    </row>
    <row r="9" spans="1:8" x14ac:dyDescent="0.35">
      <c r="A9" s="4" t="s">
        <v>32</v>
      </c>
      <c r="B9" s="9">
        <v>15000</v>
      </c>
      <c r="C9" s="10">
        <v>15000</v>
      </c>
      <c r="D9" s="11">
        <f>$C9*(1+Assumptions!$B$6)^1</f>
        <v>15750</v>
      </c>
      <c r="E9" s="11">
        <f>$C9*(1+Assumptions!$B$6)^2</f>
        <v>16537.5</v>
      </c>
      <c r="F9" s="11">
        <f>$C9*(1+Assumptions!$B$6)^3</f>
        <v>17364.375000000004</v>
      </c>
      <c r="G9" s="11">
        <f>$C9*(1+Assumptions!$B$6)^4</f>
        <v>18232.59375</v>
      </c>
      <c r="H9" s="12">
        <f>SUM(B9:G9)</f>
        <v>97884.46875</v>
      </c>
    </row>
    <row r="10" spans="1:8" x14ac:dyDescent="0.35">
      <c r="A10" s="13" t="s">
        <v>23</v>
      </c>
      <c r="B10" s="14">
        <f t="shared" ref="B10:H10" si="0">SUM(B5:B9)</f>
        <v>205000</v>
      </c>
      <c r="C10" s="14">
        <f t="shared" si="0"/>
        <v>295000</v>
      </c>
      <c r="D10" s="14">
        <f t="shared" si="0"/>
        <v>313950</v>
      </c>
      <c r="E10" s="14">
        <f t="shared" si="0"/>
        <v>334183.5</v>
      </c>
      <c r="F10" s="14">
        <f t="shared" si="0"/>
        <v>355791.55500000005</v>
      </c>
      <c r="G10" s="14">
        <f t="shared" si="0"/>
        <v>378871.92315000005</v>
      </c>
      <c r="H10" s="14">
        <f t="shared" si="0"/>
        <v>1882796.9781499999</v>
      </c>
    </row>
  </sheetData>
  <mergeCells count="2">
    <mergeCell ref="A1:H1"/>
    <mergeCell ref="A2:H2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workbookViewId="0">
      <selection activeCell="A18" sqref="A18"/>
    </sheetView>
  </sheetViews>
  <sheetFormatPr defaultColWidth="8.6328125" defaultRowHeight="14.5" x14ac:dyDescent="0.35"/>
  <cols>
    <col min="1" max="1" width="46" customWidth="1"/>
    <col min="2" max="8" width="13" customWidth="1"/>
  </cols>
  <sheetData>
    <row r="1" spans="1:8" ht="25.5" customHeight="1" x14ac:dyDescent="0.4">
      <c r="A1" s="3" t="s">
        <v>56</v>
      </c>
      <c r="B1" s="3"/>
      <c r="C1" s="3"/>
      <c r="D1" s="3"/>
      <c r="E1" s="3"/>
      <c r="F1" s="3"/>
      <c r="G1" s="3"/>
      <c r="H1" s="3"/>
    </row>
    <row r="2" spans="1:8" x14ac:dyDescent="0.35">
      <c r="A2" s="2" t="s">
        <v>33</v>
      </c>
      <c r="B2" s="2"/>
      <c r="C2" s="2"/>
      <c r="D2" s="2"/>
      <c r="E2" s="2"/>
      <c r="F2" s="2"/>
      <c r="G2" s="2"/>
      <c r="H2" s="2"/>
    </row>
    <row r="4" spans="1:8" x14ac:dyDescent="0.35">
      <c r="A4" s="8"/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34</v>
      </c>
    </row>
    <row r="5" spans="1:8" x14ac:dyDescent="0.35">
      <c r="A5" s="13" t="s">
        <v>35</v>
      </c>
      <c r="B5" s="15">
        <f>Build!B10</f>
        <v>435000</v>
      </c>
      <c r="C5" s="15">
        <f>Build!C10</f>
        <v>405000</v>
      </c>
      <c r="D5" s="15">
        <f>Build!D10</f>
        <v>426600</v>
      </c>
      <c r="E5" s="15">
        <f>Build!E10</f>
        <v>449388</v>
      </c>
      <c r="F5" s="15">
        <f>Build!F10</f>
        <v>473432.04000000004</v>
      </c>
      <c r="G5" s="15">
        <f>Build!G10</f>
        <v>498804.25320000004</v>
      </c>
      <c r="H5" s="15">
        <f>Build!H10</f>
        <v>2688224.2932000002</v>
      </c>
    </row>
    <row r="6" spans="1:8" x14ac:dyDescent="0.35">
      <c r="A6" s="13" t="s">
        <v>36</v>
      </c>
      <c r="B6" s="15">
        <f>Buy!B10</f>
        <v>140000</v>
      </c>
      <c r="C6" s="15">
        <f>Buy!C10</f>
        <v>285000</v>
      </c>
      <c r="D6" s="15">
        <f>Buy!D10</f>
        <v>304650</v>
      </c>
      <c r="E6" s="15">
        <f>Buy!E10</f>
        <v>325714.5</v>
      </c>
      <c r="F6" s="15">
        <f>Buy!F10</f>
        <v>348298.78500000003</v>
      </c>
      <c r="G6" s="15">
        <f>Buy!G10</f>
        <v>372516.16905000003</v>
      </c>
      <c r="H6" s="15">
        <f>Buy!H10</f>
        <v>1776179.4540500001</v>
      </c>
    </row>
    <row r="7" spans="1:8" x14ac:dyDescent="0.35">
      <c r="A7" s="13" t="s">
        <v>37</v>
      </c>
      <c r="B7" s="15">
        <f>Hybrid!B10</f>
        <v>205000</v>
      </c>
      <c r="C7" s="15">
        <f>Hybrid!C10</f>
        <v>295000</v>
      </c>
      <c r="D7" s="15">
        <f>Hybrid!D10</f>
        <v>313950</v>
      </c>
      <c r="E7" s="15">
        <f>Hybrid!E10</f>
        <v>334183.5</v>
      </c>
      <c r="F7" s="15">
        <f>Hybrid!F10</f>
        <v>355791.55500000005</v>
      </c>
      <c r="G7" s="15">
        <f>Hybrid!G10</f>
        <v>378871.92315000005</v>
      </c>
      <c r="H7" s="15">
        <f>Hybrid!H10</f>
        <v>1882796.9781499999</v>
      </c>
    </row>
    <row r="9" spans="1:8" x14ac:dyDescent="0.35">
      <c r="A9" s="1" t="s">
        <v>38</v>
      </c>
      <c r="B9" s="1"/>
      <c r="C9" s="1"/>
      <c r="D9" s="1"/>
      <c r="E9" s="1"/>
      <c r="F9" s="1"/>
      <c r="G9" s="1"/>
      <c r="H9" s="1"/>
    </row>
    <row r="10" spans="1:8" x14ac:dyDescent="0.35">
      <c r="A10" s="13" t="s">
        <v>39</v>
      </c>
      <c r="B10" s="13" t="s">
        <v>35</v>
      </c>
      <c r="C10" s="13" t="s">
        <v>36</v>
      </c>
      <c r="D10" s="13" t="s">
        <v>37</v>
      </c>
    </row>
    <row r="11" spans="1:8" x14ac:dyDescent="0.35">
      <c r="B11" s="16">
        <f>NPV(Assumptions!$B$5,C5:G5)+B5</f>
        <v>2040465.1023532005</v>
      </c>
      <c r="C11" s="16">
        <f>NPV(Assumptions!$B$5,C6:G6)+B6</f>
        <v>1301892.4010989424</v>
      </c>
      <c r="D11" s="16">
        <f>NPV(Assumptions!$B$5,C7:G7)+B7</f>
        <v>1397631.158864483</v>
      </c>
    </row>
    <row r="12" spans="1:8" x14ac:dyDescent="0.35">
      <c r="A12" s="13" t="s">
        <v>40</v>
      </c>
      <c r="B12" s="17" t="str">
        <f>INDEX(B10:D10,MATCH(MIN(B11:D11),B11:D11,0))</f>
        <v>Buy</v>
      </c>
    </row>
    <row r="14" spans="1:8" x14ac:dyDescent="0.35">
      <c r="A14" s="1" t="s">
        <v>57</v>
      </c>
      <c r="B14" s="1"/>
      <c r="C14" s="1"/>
      <c r="D14" s="1"/>
      <c r="E14" s="1"/>
      <c r="F14" s="1"/>
      <c r="G14" s="1"/>
      <c r="H14" s="1"/>
    </row>
    <row r="15" spans="1:8" x14ac:dyDescent="0.35">
      <c r="A15" s="4" t="s">
        <v>41</v>
      </c>
      <c r="B15" s="11">
        <f t="shared" ref="B15:G15" si="0">B6-B5</f>
        <v>-295000</v>
      </c>
      <c r="C15" s="11">
        <f t="shared" si="0"/>
        <v>-120000</v>
      </c>
      <c r="D15" s="11">
        <f t="shared" si="0"/>
        <v>-121950</v>
      </c>
      <c r="E15" s="11">
        <f t="shared" si="0"/>
        <v>-123673.5</v>
      </c>
      <c r="F15" s="11">
        <f t="shared" si="0"/>
        <v>-125133.255</v>
      </c>
      <c r="G15" s="11">
        <f t="shared" si="0"/>
        <v>-126288.08415000001</v>
      </c>
    </row>
    <row r="16" spans="1:8" x14ac:dyDescent="0.35">
      <c r="A16" s="4" t="s">
        <v>42</v>
      </c>
      <c r="B16" s="11">
        <f>B15</f>
        <v>-295000</v>
      </c>
      <c r="C16" s="11">
        <f>B16+C15</f>
        <v>-415000</v>
      </c>
      <c r="D16" s="11">
        <f>C16+D15</f>
        <v>-536950</v>
      </c>
      <c r="E16" s="11">
        <f>D16+E15</f>
        <v>-660623.5</v>
      </c>
      <c r="F16" s="11">
        <f>E16+F15</f>
        <v>-785756.755</v>
      </c>
      <c r="G16" s="11">
        <f>F16+G15</f>
        <v>-912044.83915000001</v>
      </c>
    </row>
    <row r="17" spans="1:7" x14ac:dyDescent="0.35">
      <c r="A17" s="18" t="s">
        <v>43</v>
      </c>
      <c r="B17" s="18">
        <f t="shared" ref="B17:G17" si="1">IF(B16&gt;=0,1,0)</f>
        <v>0</v>
      </c>
      <c r="C17" s="18">
        <f t="shared" si="1"/>
        <v>0</v>
      </c>
      <c r="D17" s="18">
        <f t="shared" si="1"/>
        <v>0</v>
      </c>
      <c r="E17" s="18">
        <f t="shared" si="1"/>
        <v>0</v>
      </c>
      <c r="F17" s="18">
        <f t="shared" si="1"/>
        <v>0</v>
      </c>
      <c r="G17" s="18">
        <f t="shared" si="1"/>
        <v>0</v>
      </c>
    </row>
    <row r="19" spans="1:7" x14ac:dyDescent="0.35">
      <c r="A19" s="13" t="s">
        <v>44</v>
      </c>
      <c r="B19" s="19" t="str">
        <f>IFERROR(IRR(B15:G15),"n/a")</f>
        <v>n/a</v>
      </c>
      <c r="C19" s="18" t="s">
        <v>45</v>
      </c>
    </row>
    <row r="20" spans="1:7" x14ac:dyDescent="0.35">
      <c r="A20" s="13" t="s">
        <v>46</v>
      </c>
      <c r="B20" s="17" t="str">
        <f>IF(SUM(B17:G17)=0,"Beyond horizon",MATCH(1,B17:G17,0)-1)</f>
        <v>Beyond horizon</v>
      </c>
    </row>
    <row r="21" spans="1:7" x14ac:dyDescent="0.35">
      <c r="A21" s="18" t="s">
        <v>47</v>
      </c>
    </row>
  </sheetData>
  <mergeCells count="4">
    <mergeCell ref="A1:H1"/>
    <mergeCell ref="A2:H2"/>
    <mergeCell ref="A9:H9"/>
    <mergeCell ref="A14:H14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README</vt:lpstr>
      <vt:lpstr>Assumptions</vt:lpstr>
      <vt:lpstr>Build</vt:lpstr>
      <vt:lpstr>Buy</vt:lpstr>
      <vt:lpstr>Hybrid</vt:lpstr>
      <vt:lpstr>Comparison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YASH</dc:creator>
  <dc:description/>
  <cp:lastModifiedBy>Vinayaka</cp:lastModifiedBy>
  <cp:revision>0</cp:revision>
  <dcterms:created xsi:type="dcterms:W3CDTF">2026-07-23T17:23:29Z</dcterms:created>
  <dcterms:modified xsi:type="dcterms:W3CDTF">2026-07-23T17:55:48Z</dcterms:modified>
  <dc:language>en-US</dc:language>
</cp:coreProperties>
</file>